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agov-my.sharepoint.com/personal/gi_greco_agea_gov_it/Documents/Decreti/678/Spacchettamento/"/>
    </mc:Choice>
  </mc:AlternateContent>
  <xr:revisionPtr revIDLastSave="0" documentId="8_{2DD6A131-E764-4F54-A466-1C0E2BB3C384}" xr6:coauthVersionLast="47" xr6:coauthVersionMax="47" xr10:uidLastSave="{00000000-0000-0000-0000-000000000000}"/>
  <bookViews>
    <workbookView xWindow="-108" yWindow="-108" windowWidth="23256" windowHeight="12576" xr2:uid="{AD5D2DA4-39AC-4006-B6E5-48C630BD7774}"/>
  </bookViews>
  <sheets>
    <sheet name="MARCH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6" i="1" l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<sst xmlns="http://schemas.openxmlformats.org/spreadsheetml/2006/main" count="2744" uniqueCount="821">
  <si>
    <t>Dettaglio Domande Pagabili Decreto 678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</si>
  <si>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</si>
  <si>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</si>
  <si>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</si>
  <si>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</si>
  <si>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</si>
  <si>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</si>
  <si>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</si>
  <si>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</si>
  <si>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</si>
  <si>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</si>
  <si>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</si>
  <si>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</si>
  <si>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</si>
  <si>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</si>
  <si>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</si>
  <si>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</si>
  <si>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</si>
  <si>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</si>
  <si>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</si>
  <si>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</si>
  <si>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</si>
  <si>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</si>
  <si>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</si>
  <si>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</si>
  <si>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</si>
  <si>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</si>
  <si>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</si>
  <si>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</si>
  <si>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MARCHE</t>
  </si>
  <si>
    <t>SERV. DEC. AGRICOLTURA E ALIM. - MACERATA</t>
  </si>
  <si>
    <t>CAA Coldiretti srl</t>
  </si>
  <si>
    <t>CAA Coldiretti - MACERATA - 007</t>
  </si>
  <si>
    <t>SI</t>
  </si>
  <si>
    <t>PSR 2014/2022</t>
  </si>
  <si>
    <t>SOCIETA' AGRICOLA LAI SS</t>
  </si>
  <si>
    <t>AGEA.ASR.2024.0412717</t>
  </si>
  <si>
    <t>In Liquidazione</t>
  </si>
  <si>
    <t>Saldo</t>
  </si>
  <si>
    <t>Co-Finanziato</t>
  </si>
  <si>
    <t>Ordinario</t>
  </si>
  <si>
    <t>11.400,00</t>
  </si>
  <si>
    <t>4.915,68</t>
  </si>
  <si>
    <t>4.539,48</t>
  </si>
  <si>
    <t>1.944,84</t>
  </si>
  <si>
    <t>0,00</t>
  </si>
  <si>
    <t>CAA Confagricoltura srl</t>
  </si>
  <si>
    <t>CAA Confagricoltura - MACERATA - 001</t>
  </si>
  <si>
    <t>NO</t>
  </si>
  <si>
    <t>CARTECHINI GIOVANNA</t>
  </si>
  <si>
    <t>AGEA.ASR.2024.0420141</t>
  </si>
  <si>
    <t>180,42</t>
  </si>
  <si>
    <t>77,80</t>
  </si>
  <si>
    <t>71,84</t>
  </si>
  <si>
    <t>30,78</t>
  </si>
  <si>
    <t>STRACCIO ALESSANDRA</t>
  </si>
  <si>
    <t>823,18</t>
  </si>
  <si>
    <t>354,96</t>
  </si>
  <si>
    <t>327,79</t>
  </si>
  <si>
    <t>140,43</t>
  </si>
  <si>
    <t>93,92</t>
  </si>
  <si>
    <t>40,50</t>
  </si>
  <si>
    <t>37,40</t>
  </si>
  <si>
    <t>16,02</t>
  </si>
  <si>
    <t>CAA Coldiretti - MACERATA - 010</t>
  </si>
  <si>
    <t>TARDIOLI MARIA GRAZIA</t>
  </si>
  <si>
    <t>172,36</t>
  </si>
  <si>
    <t>74,32</t>
  </si>
  <si>
    <t>68,63</t>
  </si>
  <si>
    <t>29,41</t>
  </si>
  <si>
    <t>CAA Coldiretti - MACERATA - 018</t>
  </si>
  <si>
    <t>MALGRANDE MARCO</t>
  </si>
  <si>
    <t>1.220,16</t>
  </si>
  <si>
    <t>526,13</t>
  </si>
  <si>
    <t>485,87</t>
  </si>
  <si>
    <t>208,16</t>
  </si>
  <si>
    <t>CAA CIA srl</t>
  </si>
  <si>
    <t>CAA CIA - ANCONA - 002</t>
  </si>
  <si>
    <t>VOLPONI VANNI</t>
  </si>
  <si>
    <t>710,80</t>
  </si>
  <si>
    <t>306,50</t>
  </si>
  <si>
    <t>283,04</t>
  </si>
  <si>
    <t>121,26</t>
  </si>
  <si>
    <t>Misure Strutturali</t>
  </si>
  <si>
    <t>SERV. DEC. AGRICOLTURA E ALIM. -ASCOLI PICENO</t>
  </si>
  <si>
    <t>IN PROPRIO</t>
  </si>
  <si>
    <t>COMUNE DI ROCCAFLUVIONE</t>
  </si>
  <si>
    <t>AGEA.ASR.2024.0411857</t>
  </si>
  <si>
    <t>131.980,82</t>
  </si>
  <si>
    <t>56.910,13</t>
  </si>
  <si>
    <t>52.554,76</t>
  </si>
  <si>
    <t>22.515,93</t>
  </si>
  <si>
    <t>CIANCONI FRANCESCO</t>
  </si>
  <si>
    <t>4.760,00</t>
  </si>
  <si>
    <t>2.052,51</t>
  </si>
  <si>
    <t>1.895,43</t>
  </si>
  <si>
    <t>812,06</t>
  </si>
  <si>
    <t>CAA LiberiAgricoltori srl già CAA AGCI srl</t>
  </si>
  <si>
    <t>CAA LiberiAgricoltori - MACERATA - 004</t>
  </si>
  <si>
    <t>RINOMATA AZIENDA BIOLOGICA IMPRENDITORI LIBERTI SIMONEE GIANPIETRO SOC</t>
  </si>
  <si>
    <t>21.515,00</t>
  </si>
  <si>
    <t>9.277,27</t>
  </si>
  <si>
    <t>8.567,27</t>
  </si>
  <si>
    <t>3.670,46</t>
  </si>
  <si>
    <t>CAA LiberiAgricoltori - MACERATA - 005</t>
  </si>
  <si>
    <t>SOCIETA' AGRICOLA ANGELI SOCIETA' SEMPLICE</t>
  </si>
  <si>
    <t>6.457,80</t>
  </si>
  <si>
    <t>2.784,60</t>
  </si>
  <si>
    <t>2.571,50</t>
  </si>
  <si>
    <t>1.101,70</t>
  </si>
  <si>
    <t>CAA Coldiretti - FERMO - 001</t>
  </si>
  <si>
    <t>SOCIETA' AGRICOLA IERVICELLA ALESSANDRO ED ELIO S.S.</t>
  </si>
  <si>
    <t>AGEA.ASR.2024.0421704</t>
  </si>
  <si>
    <t>12.862,90</t>
  </si>
  <si>
    <t>5.546,48</t>
  </si>
  <si>
    <t>5.122,01</t>
  </si>
  <si>
    <t>2.194,41</t>
  </si>
  <si>
    <t>CAA Coldiretti - MACERATA - 008</t>
  </si>
  <si>
    <t>BERRIA BARBARA</t>
  </si>
  <si>
    <t>3.249,00</t>
  </si>
  <si>
    <t>1.400,97</t>
  </si>
  <si>
    <t>1.293,75</t>
  </si>
  <si>
    <t>554,28</t>
  </si>
  <si>
    <t>CAA Coldiretti - MACERATA - 017</t>
  </si>
  <si>
    <t>NITISOR DUMITRU</t>
  </si>
  <si>
    <t>10.000,00</t>
  </si>
  <si>
    <t>4.312,00</t>
  </si>
  <si>
    <t>3.982,00</t>
  </si>
  <si>
    <t>1.706,00</t>
  </si>
  <si>
    <t>CAA Coldiretti - MACERATA - 009</t>
  </si>
  <si>
    <t>SINCINI MAURO</t>
  </si>
  <si>
    <t>11.960,00</t>
  </si>
  <si>
    <t>5.157,15</t>
  </si>
  <si>
    <t>4.762,47</t>
  </si>
  <si>
    <t>2.040,38</t>
  </si>
  <si>
    <t>SOCIETA' AGRICOLA IL TESORO DEI SIBILLINI DI TIDEI MAURO E MARICA S.S.</t>
  </si>
  <si>
    <t>7.335,90</t>
  </si>
  <si>
    <t>3.163,24</t>
  </si>
  <si>
    <t>2.921,16</t>
  </si>
  <si>
    <t>1.251,50</t>
  </si>
  <si>
    <t>SERV. DEC. AGRICOLTURA E ALIMENTAZIONE - PESARO</t>
  </si>
  <si>
    <t>CAA CIA - PESARO E URBINO - 007</t>
  </si>
  <si>
    <t>BERTI OVIDIO</t>
  </si>
  <si>
    <t>182,31</t>
  </si>
  <si>
    <t>78,61</t>
  </si>
  <si>
    <t>72,60</t>
  </si>
  <si>
    <t>31,10</t>
  </si>
  <si>
    <t>ALBANI PATRIZIO</t>
  </si>
  <si>
    <t>4.580,00</t>
  </si>
  <si>
    <t>1.974,90</t>
  </si>
  <si>
    <t>1.823,76</t>
  </si>
  <si>
    <t>781,34</t>
  </si>
  <si>
    <t>CAA CIA - ASCOLI PICENO - 001</t>
  </si>
  <si>
    <t>VAGNONI LILIANA</t>
  </si>
  <si>
    <t>17.100,00</t>
  </si>
  <si>
    <t>7.373,52</t>
  </si>
  <si>
    <t>6.809,22</t>
  </si>
  <si>
    <t>2.917,26</t>
  </si>
  <si>
    <t>CAA Coldiretti - ASCOLI PICENO - 010</t>
  </si>
  <si>
    <t>SALVATI EMILIO PIETRO</t>
  </si>
  <si>
    <t>23.080,80</t>
  </si>
  <si>
    <t>9.952,44</t>
  </si>
  <si>
    <t>9.190,77</t>
  </si>
  <si>
    <t>3.937,59</t>
  </si>
  <si>
    <t>MOGLIANI PINA</t>
  </si>
  <si>
    <t>395,88</t>
  </si>
  <si>
    <t>170,70</t>
  </si>
  <si>
    <t>157,64</t>
  </si>
  <si>
    <t>67,54</t>
  </si>
  <si>
    <t>CAA LiberiAgricoltori - MACERATA - 001</t>
  </si>
  <si>
    <t>SALTALAMACCHIA LUCIA</t>
  </si>
  <si>
    <t>969,12</t>
  </si>
  <si>
    <t>417,88</t>
  </si>
  <si>
    <t>385,90</t>
  </si>
  <si>
    <t>165,34</t>
  </si>
  <si>
    <t>CIPRIANI MARISA</t>
  </si>
  <si>
    <t>459,66</t>
  </si>
  <si>
    <t>198,21</t>
  </si>
  <si>
    <t>183,04</t>
  </si>
  <si>
    <t>78,41</t>
  </si>
  <si>
    <t>TESTATONDA EMANUELE</t>
  </si>
  <si>
    <t>586,68</t>
  </si>
  <si>
    <t>252,98</t>
  </si>
  <si>
    <t>233,62</t>
  </si>
  <si>
    <t>100,08</t>
  </si>
  <si>
    <t>COMUNE DI BELMONTE PICENO</t>
  </si>
  <si>
    <t>AGEA.ASR.2024.0414316</t>
  </si>
  <si>
    <t>49.022,40</t>
  </si>
  <si>
    <t>21.138,46</t>
  </si>
  <si>
    <t>19.520,72</t>
  </si>
  <si>
    <t>8.363,22</t>
  </si>
  <si>
    <t>COMUNE DI MASSA FERMANA</t>
  </si>
  <si>
    <t>47.137,34</t>
  </si>
  <si>
    <t>20.325,62</t>
  </si>
  <si>
    <t>18.770,09</t>
  </si>
  <si>
    <t>8.041,63</t>
  </si>
  <si>
    <t>COMUNE DI PETRITOLI</t>
  </si>
  <si>
    <t>36.820,85</t>
  </si>
  <si>
    <t>15.877,15</t>
  </si>
  <si>
    <t>14.662,06</t>
  </si>
  <si>
    <t>6.281,64</t>
  </si>
  <si>
    <t>COMUNE DI PONZANO DI FERMO</t>
  </si>
  <si>
    <t>23.096,15</t>
  </si>
  <si>
    <t>9.959,06</t>
  </si>
  <si>
    <t>9.196,89</t>
  </si>
  <si>
    <t>3.940,20</t>
  </si>
  <si>
    <t>SERV. DEC. AGRICOLTURA E ALIMENTAZIONE - ANCONA</t>
  </si>
  <si>
    <t>IMPRESA VERDE MARCHE S.R.L.</t>
  </si>
  <si>
    <t>AGEA.ASR.2024.0416762</t>
  </si>
  <si>
    <t>1.320,00</t>
  </si>
  <si>
    <t>569,18</t>
  </si>
  <si>
    <t>525,62</t>
  </si>
  <si>
    <t>225,20</t>
  </si>
  <si>
    <t>COMUNE DI SASSOFERRATO</t>
  </si>
  <si>
    <t>AGEA.ASR.2024.0414332</t>
  </si>
  <si>
    <t>102.620,09</t>
  </si>
  <si>
    <t>44.249,78</t>
  </si>
  <si>
    <t>40.863,32</t>
  </si>
  <si>
    <t>17.506,99</t>
  </si>
  <si>
    <t>COMUNE DI TREIA</t>
  </si>
  <si>
    <t>AGEA.ASR.2024.0411829</t>
  </si>
  <si>
    <t>114.095,38</t>
  </si>
  <si>
    <t>49.197,93</t>
  </si>
  <si>
    <t>45.432,78</t>
  </si>
  <si>
    <t>19.464,67</t>
  </si>
  <si>
    <t>BIONDI SOCIETA' AGRICOLA SEMPLICE</t>
  </si>
  <si>
    <t>AGEA.ASR.2024.0416388</t>
  </si>
  <si>
    <t>23.740,64</t>
  </si>
  <si>
    <t>10.236,96</t>
  </si>
  <si>
    <t>9.453,52</t>
  </si>
  <si>
    <t>4.050,16</t>
  </si>
  <si>
    <t>CAA Coldiretti - ASCOLI PICENO - 030</t>
  </si>
  <si>
    <t>DI GIROLAMI MARIANO</t>
  </si>
  <si>
    <t>7.065,59</t>
  </si>
  <si>
    <t>3.046,68</t>
  </si>
  <si>
    <t>2.813,52</t>
  </si>
  <si>
    <t>1.205,39</t>
  </si>
  <si>
    <t>TENUTA DELLA MARCA SOCIETA' SEMPLICE AGRICOLA</t>
  </si>
  <si>
    <t>39.948,00</t>
  </si>
  <si>
    <t>17.225,58</t>
  </si>
  <si>
    <t>15.907,29</t>
  </si>
  <si>
    <t>6.815,13</t>
  </si>
  <si>
    <t>GENTILI ROMANO</t>
  </si>
  <si>
    <t>AGEA.ASR.2024.0411832</t>
  </si>
  <si>
    <t>12.509,17</t>
  </si>
  <si>
    <t>5.393,95</t>
  </si>
  <si>
    <t>4.981,15</t>
  </si>
  <si>
    <t>2.134,07</t>
  </si>
  <si>
    <t>LARGHETTI ANTONIO</t>
  </si>
  <si>
    <t>SAL</t>
  </si>
  <si>
    <t>63.845,30</t>
  </si>
  <si>
    <t>27.530,09</t>
  </si>
  <si>
    <t>25.423,20</t>
  </si>
  <si>
    <t>10.892,01</t>
  </si>
  <si>
    <t>SOCIETA' AGRICOLA VALLONGA S.S.</t>
  </si>
  <si>
    <t>256.096,70</t>
  </si>
  <si>
    <t>110.428,90</t>
  </si>
  <si>
    <t>101.977,71</t>
  </si>
  <si>
    <t>43.690,09</t>
  </si>
  <si>
    <t>CAA LiberiAgricoltori - PESARO E URBINO - 002</t>
  </si>
  <si>
    <t>AZIENDA AGRICOLA MARCHIONNI MAURIZIO E ALESSANDRO SOCIETA' SEMPLICE</t>
  </si>
  <si>
    <t>AGEA.ASR.2024.0420687</t>
  </si>
  <si>
    <t>708,21</t>
  </si>
  <si>
    <t>305,38</t>
  </si>
  <si>
    <t>282,01</t>
  </si>
  <si>
    <t>120,82</t>
  </si>
  <si>
    <t>CAA CIA - MACERATA - 001</t>
  </si>
  <si>
    <t>AZ.AGR.BANCHETTI GIULIANO-SANTONI M. BANCHETTI JOHAANES -SOC,SEMPL.AGR</t>
  </si>
  <si>
    <t>5.299,50</t>
  </si>
  <si>
    <t>2.285,14</t>
  </si>
  <si>
    <t>2.110,26</t>
  </si>
  <si>
    <t>904,10</t>
  </si>
  <si>
    <t>CAA CIA - PESARO E URBINO - 008</t>
  </si>
  <si>
    <t>DE ANGELIS GIGLIOLA</t>
  </si>
  <si>
    <t>4.961,35</t>
  </si>
  <si>
    <t>2.139,33</t>
  </si>
  <si>
    <t>1.975,61</t>
  </si>
  <si>
    <t>846,41</t>
  </si>
  <si>
    <t>CAA-CAF AGRI S.R.L.</t>
  </si>
  <si>
    <t>CAA CAF AGRI - ASCOLI PICENO - 223</t>
  </si>
  <si>
    <t>BRUNORI SIMONA</t>
  </si>
  <si>
    <t>4.251,40</t>
  </si>
  <si>
    <t>1.833,20</t>
  </si>
  <si>
    <t>1.692,91</t>
  </si>
  <si>
    <t>725,29</t>
  </si>
  <si>
    <t>1.004,45</t>
  </si>
  <si>
    <t>433,12</t>
  </si>
  <si>
    <t>399,97</t>
  </si>
  <si>
    <t>171,36</t>
  </si>
  <si>
    <t>CAA Coldiretti - PESARO E URBINO - 006</t>
  </si>
  <si>
    <t>AZIENDA AGRICOLA MEZZANOTTE DI MASSI SIMONE E C. - SOCIETA' AGRICOLA I</t>
  </si>
  <si>
    <t>6.767,88</t>
  </si>
  <si>
    <t>2.918,31</t>
  </si>
  <si>
    <t>2.694,97</t>
  </si>
  <si>
    <t>1.154,60</t>
  </si>
  <si>
    <t>AGEA.ASR.2024.0420199</t>
  </si>
  <si>
    <t>12.104,68</t>
  </si>
  <si>
    <t>5.219,54</t>
  </si>
  <si>
    <t>4.820,08</t>
  </si>
  <si>
    <t>2.065,06</t>
  </si>
  <si>
    <t>VICARI SOCIETA' SEMPLICE AGRICOLA DI VICARI NAZZARENO, VICO E VALENTIN</t>
  </si>
  <si>
    <t>1.323,77</t>
  </si>
  <si>
    <t>570,81</t>
  </si>
  <si>
    <t>527,13</t>
  </si>
  <si>
    <t>225,83</t>
  </si>
  <si>
    <t>TOZZI TONINO</t>
  </si>
  <si>
    <t>19.995,45</t>
  </si>
  <si>
    <t>8.622,04</t>
  </si>
  <si>
    <t>7.962,19</t>
  </si>
  <si>
    <t>3.411,22</t>
  </si>
  <si>
    <t>AGRITARBIO SOCIETA' AGRICOLA SEMPLICE</t>
  </si>
  <si>
    <t>AGEA.ASR.2024.0421831</t>
  </si>
  <si>
    <t>Anticipo</t>
  </si>
  <si>
    <t>125.000,00</t>
  </si>
  <si>
    <t>53.900,00</t>
  </si>
  <si>
    <t>49.775,00</t>
  </si>
  <si>
    <t>21.325,00</t>
  </si>
  <si>
    <t>CAA UNICAA srl</t>
  </si>
  <si>
    <t>CAA UNICAA - ASCOLI PICENO - 003</t>
  </si>
  <si>
    <t>PAOLUCCI FRANCESCA</t>
  </si>
  <si>
    <t>9.535,76</t>
  </si>
  <si>
    <t>4.111,82</t>
  </si>
  <si>
    <t>3.797,14</t>
  </si>
  <si>
    <t>1.626,80</t>
  </si>
  <si>
    <t>CAA CAF AGRI - ANCONA - 225</t>
  </si>
  <si>
    <t>ROSSETTI PRIMO</t>
  </si>
  <si>
    <t>2.008,68</t>
  </si>
  <si>
    <t>866,14</t>
  </si>
  <si>
    <t>799,86</t>
  </si>
  <si>
    <t>342,68</t>
  </si>
  <si>
    <t>CAA Coldiretti - PESARO E URBINO - 013</t>
  </si>
  <si>
    <t>SOCIETA' AGRICOLA PAGLIARI CARLO E PAOLO S.S.</t>
  </si>
  <si>
    <t>5.400,00</t>
  </si>
  <si>
    <t>2.328,48</t>
  </si>
  <si>
    <t>2.150,28</t>
  </si>
  <si>
    <t>921,24</t>
  </si>
  <si>
    <t>CAA Coldiretti - PESARO E URBINO - 010</t>
  </si>
  <si>
    <t>FERRI MARIA</t>
  </si>
  <si>
    <t>711,57</t>
  </si>
  <si>
    <t>306,83</t>
  </si>
  <si>
    <t>283,35</t>
  </si>
  <si>
    <t>121,39</t>
  </si>
  <si>
    <t>CAI Coldiretti Emilia Romagna S.r.l.</t>
  </si>
  <si>
    <t>CAA Coldiretti - RIMINI - 005</t>
  </si>
  <si>
    <t>RAGANINI MARINO</t>
  </si>
  <si>
    <t>1.595,53</t>
  </si>
  <si>
    <t>687,99</t>
  </si>
  <si>
    <t>635,34</t>
  </si>
  <si>
    <t>272,20</t>
  </si>
  <si>
    <t>MAURI GIANMARCO</t>
  </si>
  <si>
    <t>11.250,00</t>
  </si>
  <si>
    <t>4.851,00</t>
  </si>
  <si>
    <t>4.479,75</t>
  </si>
  <si>
    <t>1.919,25</t>
  </si>
  <si>
    <t>CAA Coldiretti - ANCONA - 002</t>
  </si>
  <si>
    <t>ARPINI MIRKO</t>
  </si>
  <si>
    <t>939,93</t>
  </si>
  <si>
    <t>405,30</t>
  </si>
  <si>
    <t>374,28</t>
  </si>
  <si>
    <t>160,35</t>
  </si>
  <si>
    <t>1.438,91</t>
  </si>
  <si>
    <t>620,46</t>
  </si>
  <si>
    <t>572,97</t>
  </si>
  <si>
    <t>245,48</t>
  </si>
  <si>
    <t>MAISANO PAOLO</t>
  </si>
  <si>
    <t>6.874,06</t>
  </si>
  <si>
    <t>2.964,09</t>
  </si>
  <si>
    <t>2.737,25</t>
  </si>
  <si>
    <t>1.172,72</t>
  </si>
  <si>
    <t>SOCIETA' AGRICOLA GIOIA S.S.</t>
  </si>
  <si>
    <t>2.117,98</t>
  </si>
  <si>
    <t>913,27</t>
  </si>
  <si>
    <t>843,38</t>
  </si>
  <si>
    <t>361,33</t>
  </si>
  <si>
    <t>CAA Liberi Professionisti srl</t>
  </si>
  <si>
    <t>CAA Liberi Prof.- PESARO E URBINO - 001</t>
  </si>
  <si>
    <t>URBINELLI MARIA LAURA</t>
  </si>
  <si>
    <t>967,99</t>
  </si>
  <si>
    <t>417,40</t>
  </si>
  <si>
    <t>385,45</t>
  </si>
  <si>
    <t>165,14</t>
  </si>
  <si>
    <t>CAA Coldiretti - PESARO E URBINO - 001</t>
  </si>
  <si>
    <t>BALDELLI MARIA GRAZIA</t>
  </si>
  <si>
    <t>1.445,38</t>
  </si>
  <si>
    <t>623,25</t>
  </si>
  <si>
    <t>575,55</t>
  </si>
  <si>
    <t>246,58</t>
  </si>
  <si>
    <t>MUGIONE ARCANGELA</t>
  </si>
  <si>
    <t>2.743,63</t>
  </si>
  <si>
    <t>1.183,05</t>
  </si>
  <si>
    <t>1.092,51</t>
  </si>
  <si>
    <t>468,07</t>
  </si>
  <si>
    <t>RINOZZI AURELIO</t>
  </si>
  <si>
    <t>2.812,40</t>
  </si>
  <si>
    <t>1.212,71</t>
  </si>
  <si>
    <t>1.119,90</t>
  </si>
  <si>
    <t>479,79</t>
  </si>
  <si>
    <t>185,16</t>
  </si>
  <si>
    <t>79,84</t>
  </si>
  <si>
    <t>73,73</t>
  </si>
  <si>
    <t>31,59</t>
  </si>
  <si>
    <t>SPADONI EMANUELE</t>
  </si>
  <si>
    <t>4.251,34</t>
  </si>
  <si>
    <t>1.833,18</t>
  </si>
  <si>
    <t>1.692,88</t>
  </si>
  <si>
    <t>725,28</t>
  </si>
  <si>
    <t>CAA CIA - PESARO E URBINO - 005</t>
  </si>
  <si>
    <t>CAIA RODICA</t>
  </si>
  <si>
    <t>697,98</t>
  </si>
  <si>
    <t>300,97</t>
  </si>
  <si>
    <t>277,94</t>
  </si>
  <si>
    <t>119,07</t>
  </si>
  <si>
    <t>CAA Coldiretti - PESARO E URBINO - 008</t>
  </si>
  <si>
    <t>SOCIETA' AGRICOLA TIBERI FEDERICO &amp; C. SOCIETA' SEMPLICE</t>
  </si>
  <si>
    <t>407,49</t>
  </si>
  <si>
    <t>175,71</t>
  </si>
  <si>
    <t>162,26</t>
  </si>
  <si>
    <t>69,52</t>
  </si>
  <si>
    <t>FERRETTI FRANCA</t>
  </si>
  <si>
    <t>422,16</t>
  </si>
  <si>
    <t>182,04</t>
  </si>
  <si>
    <t>168,10</t>
  </si>
  <si>
    <t>72,02</t>
  </si>
  <si>
    <t>SOC.AGR.SANTA COLOMBA DEI F.LLI DEZI PIERO,MORENO E C.S.S.</t>
  </si>
  <si>
    <t>1.949,36</t>
  </si>
  <si>
    <t>840,56</t>
  </si>
  <si>
    <t>776,24</t>
  </si>
  <si>
    <t>332,56</t>
  </si>
  <si>
    <t>PACI GIOVANNI</t>
  </si>
  <si>
    <t>1.942,99</t>
  </si>
  <si>
    <t>837,82</t>
  </si>
  <si>
    <t>773,70</t>
  </si>
  <si>
    <t>331,47</t>
  </si>
  <si>
    <t>GUIDUCCI GABRIELE</t>
  </si>
  <si>
    <t>8.194,52</t>
  </si>
  <si>
    <t>3.533,48</t>
  </si>
  <si>
    <t>3.263,06</t>
  </si>
  <si>
    <t>1.397,98</t>
  </si>
  <si>
    <t>CAA CIA - PESARO E URBINO - 002</t>
  </si>
  <si>
    <t>PAGANELLI SANDRO</t>
  </si>
  <si>
    <t>511,34</t>
  </si>
  <si>
    <t>220,49</t>
  </si>
  <si>
    <t>203,62</t>
  </si>
  <si>
    <t>87,23</t>
  </si>
  <si>
    <t>BRISIGOTTI ANNA-MARIA</t>
  </si>
  <si>
    <t>426,73</t>
  </si>
  <si>
    <t>184,01</t>
  </si>
  <si>
    <t>169,92</t>
  </si>
  <si>
    <t>72,80</t>
  </si>
  <si>
    <t>DE SANTIS ANGELO</t>
  </si>
  <si>
    <t>6.961,65</t>
  </si>
  <si>
    <t>3.001,86</t>
  </si>
  <si>
    <t>2.772,13</t>
  </si>
  <si>
    <t>1.187,66</t>
  </si>
  <si>
    <t>4.278,33</t>
  </si>
  <si>
    <t>1.844,82</t>
  </si>
  <si>
    <t>1.703,63</t>
  </si>
  <si>
    <t>729,88</t>
  </si>
  <si>
    <t>BUSSAGLIA GIADA</t>
  </si>
  <si>
    <t>29.040,84</t>
  </si>
  <si>
    <t>12.522,41</t>
  </si>
  <si>
    <t>11.564,06</t>
  </si>
  <si>
    <t>4.954,37</t>
  </si>
  <si>
    <t>CAA CIA - ANCONA - 005</t>
  </si>
  <si>
    <t>AESA SOCIETA' AGRICOLA S.S.</t>
  </si>
  <si>
    <t>1.508,37</t>
  </si>
  <si>
    <t>650,41</t>
  </si>
  <si>
    <t>600,63</t>
  </si>
  <si>
    <t>257,33</t>
  </si>
  <si>
    <t>CAA Confagricoltura - ANCONA - 001</t>
  </si>
  <si>
    <t>AZIENDA VINICOLA UMANI RONCHI SPA</t>
  </si>
  <si>
    <t>15,43</t>
  </si>
  <si>
    <t>6,65</t>
  </si>
  <si>
    <t>6,14</t>
  </si>
  <si>
    <t>2,64</t>
  </si>
  <si>
    <t>CAA CIA - PESARO E URBINO - 001</t>
  </si>
  <si>
    <t>TADDEI ALBERTO</t>
  </si>
  <si>
    <t>1.358,82</t>
  </si>
  <si>
    <t>585,92</t>
  </si>
  <si>
    <t>541,08</t>
  </si>
  <si>
    <t>231,82</t>
  </si>
  <si>
    <t>CAA LiberiAgricoltori - RIMINI - 001</t>
  </si>
  <si>
    <t>CECCOLI CINZIA</t>
  </si>
  <si>
    <t>422,84</t>
  </si>
  <si>
    <t>182,33</t>
  </si>
  <si>
    <t>168,37</t>
  </si>
  <si>
    <t>72,14</t>
  </si>
  <si>
    <t>CAA LiberiAgricoltori - PESARO E URBINO - 001</t>
  </si>
  <si>
    <t>SOCIETA' AGRICOLA TERRE VERDI S.S.</t>
  </si>
  <si>
    <t>2.353,66</t>
  </si>
  <si>
    <t>1.014,90</t>
  </si>
  <si>
    <t>937,23</t>
  </si>
  <si>
    <t>401,53</t>
  </si>
  <si>
    <t>SOCIETA' AGRICOLA TERRE VERDI DI ZINGARETTI E SOCI S.S.</t>
  </si>
  <si>
    <t>52,00</t>
  </si>
  <si>
    <t>22,42</t>
  </si>
  <si>
    <t>20,71</t>
  </si>
  <si>
    <t>8,87</t>
  </si>
  <si>
    <t>SOCIETA' COOPERATIVA AGRICOLA MODERNA</t>
  </si>
  <si>
    <t>282,09</t>
  </si>
  <si>
    <t>121,64</t>
  </si>
  <si>
    <t>112,33</t>
  </si>
  <si>
    <t>48,12</t>
  </si>
  <si>
    <t>TAMANTI RENZO</t>
  </si>
  <si>
    <t>8.103,25</t>
  </si>
  <si>
    <t>3.494,12</t>
  </si>
  <si>
    <t>3.226,71</t>
  </si>
  <si>
    <t>1.382,42</t>
  </si>
  <si>
    <t>CERQUARELLI ALBERTO</t>
  </si>
  <si>
    <t>860,10</t>
  </si>
  <si>
    <t>370,88</t>
  </si>
  <si>
    <t>342,49</t>
  </si>
  <si>
    <t>146,73</t>
  </si>
  <si>
    <t>BODART DIANE YVES M P M G</t>
  </si>
  <si>
    <t>167,31</t>
  </si>
  <si>
    <t>66,62</t>
  </si>
  <si>
    <t>28,55</t>
  </si>
  <si>
    <t>CAA Coldiretti - ANCONA - 003</t>
  </si>
  <si>
    <t>GRESTA SILENO</t>
  </si>
  <si>
    <t>1.442,82</t>
  </si>
  <si>
    <t>622,14</t>
  </si>
  <si>
    <t>574,53</t>
  </si>
  <si>
    <t>246,15</t>
  </si>
  <si>
    <t>GAMBINI LARA</t>
  </si>
  <si>
    <t>76,31</t>
  </si>
  <si>
    <t>32,90</t>
  </si>
  <si>
    <t>30,39</t>
  </si>
  <si>
    <t>13,02</t>
  </si>
  <si>
    <t>696,40</t>
  </si>
  <si>
    <t>300,29</t>
  </si>
  <si>
    <t>277,31</t>
  </si>
  <si>
    <t>118,80</t>
  </si>
  <si>
    <t>CAA UNICAA - ANCONA - 003</t>
  </si>
  <si>
    <t>GIUSTI PIERGIOVANNI</t>
  </si>
  <si>
    <t>2.002,96</t>
  </si>
  <si>
    <t>863,68</t>
  </si>
  <si>
    <t>797,58</t>
  </si>
  <si>
    <t>341,70</t>
  </si>
  <si>
    <t>SOCIETA' AGRICOLA LUZI GIANLUIGI E ANDREA S.S.</t>
  </si>
  <si>
    <t>64.072,12</t>
  </si>
  <si>
    <t>27.627,90</t>
  </si>
  <si>
    <t>25.513,52</t>
  </si>
  <si>
    <t>10.930,70</t>
  </si>
  <si>
    <t>EREDI SOLIANI SILVANA S.S. SOCIETA' AGRICOLA DI PACCHIAROTTI CLAUDIO,</t>
  </si>
  <si>
    <t>229,19</t>
  </si>
  <si>
    <t>98,83</t>
  </si>
  <si>
    <t>91,26</t>
  </si>
  <si>
    <t>39,10</t>
  </si>
  <si>
    <t>JANNI ETTORE</t>
  </si>
  <si>
    <t>173,65</t>
  </si>
  <si>
    <t>74,88</t>
  </si>
  <si>
    <t>69,15</t>
  </si>
  <si>
    <t>29,62</t>
  </si>
  <si>
    <t>STROVEGLI GIACOMO</t>
  </si>
  <si>
    <t>1.018,79</t>
  </si>
  <si>
    <t>439,30</t>
  </si>
  <si>
    <t>405,68</t>
  </si>
  <si>
    <t>173,81</t>
  </si>
  <si>
    <t>SQUADRONI SOCIETA' AGRICOLA SEMPLICE</t>
  </si>
  <si>
    <t>115,71</t>
  </si>
  <si>
    <t>49,89</t>
  </si>
  <si>
    <t>46,08</t>
  </si>
  <si>
    <t>19,74</t>
  </si>
  <si>
    <t>BICCARI FABRIZIO</t>
  </si>
  <si>
    <t>1.754,51</t>
  </si>
  <si>
    <t>756,54</t>
  </si>
  <si>
    <t>698,65</t>
  </si>
  <si>
    <t>299,32</t>
  </si>
  <si>
    <t>RAMADORI MARIO</t>
  </si>
  <si>
    <t>AGEA.ASR.2024.0422544</t>
  </si>
  <si>
    <t>2.677,19</t>
  </si>
  <si>
    <t>1.154,40</t>
  </si>
  <si>
    <t>1.066,06</t>
  </si>
  <si>
    <t>456,73</t>
  </si>
  <si>
    <t>"IL CASALE SOCIETA' AGRICOLA SEMPLICE DI BARATTINI PASCUCCI DORIANA E</t>
  </si>
  <si>
    <t>1.528,45</t>
  </si>
  <si>
    <t>659,07</t>
  </si>
  <si>
    <t>608,63</t>
  </si>
  <si>
    <t>260,75</t>
  </si>
  <si>
    <t>LA QUERCIA DELLA MEMORIA DI DI LUCA F. &amp; C. SOC. AGR. SEMPL.</t>
  </si>
  <si>
    <t>56,01</t>
  </si>
  <si>
    <t>24,15</t>
  </si>
  <si>
    <t>22,30</t>
  </si>
  <si>
    <t>9,56</t>
  </si>
  <si>
    <t>ORGANISMO DI CONSULENZA PSR &amp; INNOVAZIONE MARCHE S.R.L.</t>
  </si>
  <si>
    <t>AGEA.ASR.2024.0412513</t>
  </si>
  <si>
    <t>71.952,00</t>
  </si>
  <si>
    <t>31.025,70</t>
  </si>
  <si>
    <t>28.651,29</t>
  </si>
  <si>
    <t>12.275,01</t>
  </si>
  <si>
    <t>19.278,00</t>
  </si>
  <si>
    <t>8.312,67</t>
  </si>
  <si>
    <t>7.676,50</t>
  </si>
  <si>
    <t>3.288,83</t>
  </si>
  <si>
    <t>AGEA.ASR.2024.0416753</t>
  </si>
  <si>
    <t>19.074,00</t>
  </si>
  <si>
    <t>8.224,71</t>
  </si>
  <si>
    <t>7.595,27</t>
  </si>
  <si>
    <t>3.254,02</t>
  </si>
  <si>
    <t>PIGNOLONI LUCA</t>
  </si>
  <si>
    <t>2.444,97</t>
  </si>
  <si>
    <t>1.054,27</t>
  </si>
  <si>
    <t>973,59</t>
  </si>
  <si>
    <t>417,11</t>
  </si>
  <si>
    <t>SCORTICHINI DOMENICO</t>
  </si>
  <si>
    <t>1.456,05</t>
  </si>
  <si>
    <t>627,85</t>
  </si>
  <si>
    <t>579,80</t>
  </si>
  <si>
    <t>248,40</t>
  </si>
  <si>
    <t>ARCADU PIETRO</t>
  </si>
  <si>
    <t>217,01</t>
  </si>
  <si>
    <t>93,57</t>
  </si>
  <si>
    <t>86,41</t>
  </si>
  <si>
    <t>37,03</t>
  </si>
  <si>
    <t>GUIDUCCI MAURO</t>
  </si>
  <si>
    <t>3.693,43</t>
  </si>
  <si>
    <t>1.592,61</t>
  </si>
  <si>
    <t>1.470,72</t>
  </si>
  <si>
    <t>630,10</t>
  </si>
  <si>
    <t>LOCCIONI RENATO</t>
  </si>
  <si>
    <t>2.365,34</t>
  </si>
  <si>
    <t>1.019,93</t>
  </si>
  <si>
    <t>941,88</t>
  </si>
  <si>
    <t>403,53</t>
  </si>
  <si>
    <t>ERCOLANI LORENZO</t>
  </si>
  <si>
    <t>3.401,79</t>
  </si>
  <si>
    <t>1.466,85</t>
  </si>
  <si>
    <t>1.354,59</t>
  </si>
  <si>
    <t>580,35</t>
  </si>
  <si>
    <t>398,61</t>
  </si>
  <si>
    <t>171,88</t>
  </si>
  <si>
    <t>158,73</t>
  </si>
  <si>
    <t>68,00</t>
  </si>
  <si>
    <t>DEL ROMANO ROBERTO</t>
  </si>
  <si>
    <t>662,07</t>
  </si>
  <si>
    <t>285,48</t>
  </si>
  <si>
    <t>263,64</t>
  </si>
  <si>
    <t>112,95</t>
  </si>
  <si>
    <t>CAA Coldiretti - PESARO E URBINO - 004</t>
  </si>
  <si>
    <t>SOCIETA' AGRICOLA MAURI DOMENICO E C. S.S.</t>
  </si>
  <si>
    <t>773,91</t>
  </si>
  <si>
    <t>333,71</t>
  </si>
  <si>
    <t>308,17</t>
  </si>
  <si>
    <t>132,03</t>
  </si>
  <si>
    <t>SOC.AGR.MAURI STEFANO &amp; GIUSEPPE S.S.</t>
  </si>
  <si>
    <t>2.725,16</t>
  </si>
  <si>
    <t>1.175,09</t>
  </si>
  <si>
    <t>1.085,16</t>
  </si>
  <si>
    <t>464,91</t>
  </si>
  <si>
    <t>PONTE DELL'ARMELLINA SOCIETA' AGRICOLA A R.L.</t>
  </si>
  <si>
    <t>144,36</t>
  </si>
  <si>
    <t>62,25</t>
  </si>
  <si>
    <t>57,48</t>
  </si>
  <si>
    <t>24,63</t>
  </si>
  <si>
    <t>GAMBINI MAURIZIO</t>
  </si>
  <si>
    <t>1.687,50</t>
  </si>
  <si>
    <t>727,65</t>
  </si>
  <si>
    <t>671,96</t>
  </si>
  <si>
    <t>287,89</t>
  </si>
  <si>
    <t>22.803,83</t>
  </si>
  <si>
    <t>9.833,01</t>
  </si>
  <si>
    <t>9.080,49</t>
  </si>
  <si>
    <t>3.890,33</t>
  </si>
  <si>
    <t>BONCI MIRCO</t>
  </si>
  <si>
    <t>4.600,08</t>
  </si>
  <si>
    <t>1.983,55</t>
  </si>
  <si>
    <t>1.831,75</t>
  </si>
  <si>
    <t>784,78</t>
  </si>
  <si>
    <t>FILANTI DOMENICO</t>
  </si>
  <si>
    <t>3.216,23</t>
  </si>
  <si>
    <t>1.386,84</t>
  </si>
  <si>
    <t>1.280,70</t>
  </si>
  <si>
    <t>548,69</t>
  </si>
  <si>
    <t>PERUZZINI DORIANO</t>
  </si>
  <si>
    <t>911,28</t>
  </si>
  <si>
    <t>392,94</t>
  </si>
  <si>
    <t>362,87</t>
  </si>
  <si>
    <t>155,47</t>
  </si>
  <si>
    <t>CAPPELLINI MIRCO</t>
  </si>
  <si>
    <t>3.006,62</t>
  </si>
  <si>
    <t>1.296,45</t>
  </si>
  <si>
    <t>1.197,24</t>
  </si>
  <si>
    <t>512,93</t>
  </si>
  <si>
    <t>CAA Confagricoltura - PESARO E URBINO - 001</t>
  </si>
  <si>
    <t>MENTUCCI ALBERTO</t>
  </si>
  <si>
    <t>8.729,84</t>
  </si>
  <si>
    <t>3.764,31</t>
  </si>
  <si>
    <t>3.476,22</t>
  </si>
  <si>
    <t>1.489,31</t>
  </si>
  <si>
    <t>EVANGELISTI SILVANA</t>
  </si>
  <si>
    <t>2.221,33</t>
  </si>
  <si>
    <t>957,84</t>
  </si>
  <si>
    <t>884,53</t>
  </si>
  <si>
    <t>378,96</t>
  </si>
  <si>
    <t>AZIENDA AGRICOLA PIERUCCI DENIS E MASSIMO SOC. SEMPLICE AGRICOLA</t>
  </si>
  <si>
    <t>17.348,20</t>
  </si>
  <si>
    <t>7.480,54</t>
  </si>
  <si>
    <t>6.908,05</t>
  </si>
  <si>
    <t>2.959,61</t>
  </si>
  <si>
    <t>TAGNANI NAZZARENO</t>
  </si>
  <si>
    <t>6.470,12</t>
  </si>
  <si>
    <t>2.789,92</t>
  </si>
  <si>
    <t>2.576,40</t>
  </si>
  <si>
    <t>1.103,80</t>
  </si>
  <si>
    <t>CIALDINI FIORELLA</t>
  </si>
  <si>
    <t>1.364,98</t>
  </si>
  <si>
    <t>588,58</t>
  </si>
  <si>
    <t>543,54</t>
  </si>
  <si>
    <t>232,86</t>
  </si>
  <si>
    <t>LORENZOTTI SIMONE</t>
  </si>
  <si>
    <t>1.972,45</t>
  </si>
  <si>
    <t>850,52</t>
  </si>
  <si>
    <t>785,43</t>
  </si>
  <si>
    <t>336,50</t>
  </si>
  <si>
    <t>GATTI MARCO</t>
  </si>
  <si>
    <t>219,38</t>
  </si>
  <si>
    <t>94,60</t>
  </si>
  <si>
    <t>87,36</t>
  </si>
  <si>
    <t>37,42</t>
  </si>
  <si>
    <t>PERUGINI GIOVANNI</t>
  </si>
  <si>
    <t>424,35</t>
  </si>
  <si>
    <t>182,98</t>
  </si>
  <si>
    <t>168,98</t>
  </si>
  <si>
    <t>72,39</t>
  </si>
  <si>
    <t>ABDYRRAHMANI MAJLINDA</t>
  </si>
  <si>
    <t>4.000,34</t>
  </si>
  <si>
    <t>1.724,95</t>
  </si>
  <si>
    <t>1.592,94</t>
  </si>
  <si>
    <t>682,45</t>
  </si>
  <si>
    <t>MATTEUCCI MICHELE</t>
  </si>
  <si>
    <t>1.921,49</t>
  </si>
  <si>
    <t>828,55</t>
  </si>
  <si>
    <t>765,14</t>
  </si>
  <si>
    <t>327,80</t>
  </si>
  <si>
    <t>SOCIETA' AGRICOLA ALLA VECCHIA QUERCIA DI MEYER CORINNE E C. S.N.C.</t>
  </si>
  <si>
    <t>3.222,43</t>
  </si>
  <si>
    <t>1.389,51</t>
  </si>
  <si>
    <t>1.283,17</t>
  </si>
  <si>
    <t>549,75</t>
  </si>
  <si>
    <t>SOCIETA' AGRICOLA TAMANTI RENZO E C. S.S.</t>
  </si>
  <si>
    <t>1.010,52</t>
  </si>
  <si>
    <t>435,74</t>
  </si>
  <si>
    <t>402,39</t>
  </si>
  <si>
    <t>172,39</t>
  </si>
  <si>
    <t>189,17</t>
  </si>
  <si>
    <t>81,57</t>
  </si>
  <si>
    <t>75,33</t>
  </si>
  <si>
    <t>32,27</t>
  </si>
  <si>
    <t>CAA AGRISERVIZI s.r.l.</t>
  </si>
  <si>
    <t>CAA AGRISERVIZI - LATINA - 001</t>
  </si>
  <si>
    <t>MASSI PATRIZIO</t>
  </si>
  <si>
    <t>500,02</t>
  </si>
  <si>
    <t>215,61</t>
  </si>
  <si>
    <t>199,11</t>
  </si>
  <si>
    <t>85,30</t>
  </si>
  <si>
    <t>CANTORI ROBERTO</t>
  </si>
  <si>
    <t>2.546,31</t>
  </si>
  <si>
    <t>1.097,97</t>
  </si>
  <si>
    <t>1.013,94</t>
  </si>
  <si>
    <t>434,40</t>
  </si>
  <si>
    <t>UNIONE MONTANA POTENZA ESINO MUSONE</t>
  </si>
  <si>
    <t>AGEA.ASR.2024.0413989</t>
  </si>
  <si>
    <t>24.888,00</t>
  </si>
  <si>
    <t>10.731,71</t>
  </si>
  <si>
    <t>9.910,40</t>
  </si>
  <si>
    <t>4.245,89</t>
  </si>
  <si>
    <t>CUCCHI BEATRICE</t>
  </si>
  <si>
    <t>AGEA.ASR.2024.0412709</t>
  </si>
  <si>
    <t>253,48</t>
  </si>
  <si>
    <t>109,30</t>
  </si>
  <si>
    <t>100,94</t>
  </si>
  <si>
    <t>43,24</t>
  </si>
  <si>
    <t>LUZI VERONICA</t>
  </si>
  <si>
    <t>647,94</t>
  </si>
  <si>
    <t>279,39</t>
  </si>
  <si>
    <t>258,01</t>
  </si>
  <si>
    <t>110,54</t>
  </si>
  <si>
    <t>MISICI MARIO</t>
  </si>
  <si>
    <t>3.229,66</t>
  </si>
  <si>
    <t>1.392,63</t>
  </si>
  <si>
    <t>1.286,05</t>
  </si>
  <si>
    <t>550,98</t>
  </si>
  <si>
    <t>CESARONI CLAUDIO</t>
  </si>
  <si>
    <t>AGEA.ASR.2024.0416864</t>
  </si>
  <si>
    <t>179.488,14</t>
  </si>
  <si>
    <t>77.395,29</t>
  </si>
  <si>
    <t>71.472,18</t>
  </si>
  <si>
    <t>30.620,67</t>
  </si>
  <si>
    <t>AGEA.ASR.2024.0412790</t>
  </si>
  <si>
    <t>898,80</t>
  </si>
  <si>
    <t>387,56</t>
  </si>
  <si>
    <t>357,90</t>
  </si>
  <si>
    <t>153,34</t>
  </si>
  <si>
    <t>ANIBALDI CINZIA</t>
  </si>
  <si>
    <t>620,00</t>
  </si>
  <si>
    <t>267,34</t>
  </si>
  <si>
    <t>246,88</t>
  </si>
  <si>
    <t>105,78</t>
  </si>
  <si>
    <t>CAA LiberiAgricoltori - MACERATA - 002</t>
  </si>
  <si>
    <t>FIECCHI GIUSEPPE</t>
  </si>
  <si>
    <t>33,39</t>
  </si>
  <si>
    <t>14,40</t>
  </si>
  <si>
    <t>13,30</t>
  </si>
  <si>
    <t>5,69</t>
  </si>
  <si>
    <t>SCALBI LORENA</t>
  </si>
  <si>
    <t>408,99</t>
  </si>
  <si>
    <t>176,36</t>
  </si>
  <si>
    <t>162,86</t>
  </si>
  <si>
    <t>69,77</t>
  </si>
  <si>
    <t>CAA Coldiretti - MACERATA - 002</t>
  </si>
  <si>
    <t>SOCIETA' AGRICOLA FRATELLI CACIORGNA S.S.</t>
  </si>
  <si>
    <t>AGEA.ASR.2024.0422570</t>
  </si>
  <si>
    <t>115.774,63</t>
  </si>
  <si>
    <t>49.922,02</t>
  </si>
  <si>
    <t>46.101,46</t>
  </si>
  <si>
    <t>19.751,15</t>
  </si>
  <si>
    <t>MARINUCCI BARBARA</t>
  </si>
  <si>
    <t>1.381,64</t>
  </si>
  <si>
    <t>595,76</t>
  </si>
  <si>
    <t>550,17</t>
  </si>
  <si>
    <t>235,71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</si>
</sst>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BD55E-F96A-4468-8714-045F034BF164}">
  <sheetPr>
    <pageSetUpPr fitToPage="1"/>
  </sheetPr>
  <dimension ref="A1:Z146"/>
  <sheetViews>
    <sheetView tabSelected="1" workbookViewId="0"/>
  </sheetViews>
  <sheetFormatPr defaultRowHeight="14.4" x14ac:dyDescent="0.3"/>
  <cols>
    <col min="1" max="1" width="12" bestFit="1" customWidth="1"/>
    <col min="2" max="2" width="12.5546875" bestFit="1" customWidth="1"/>
    <col min="3" max="3" width="14.21875" bestFit="1" customWidth="1"/>
    <col min="4" max="4" width="34" bestFit="1" customWidth="1"/>
    <col min="5" max="5" width="25" bestFit="1" customWidth="1"/>
    <col min="6" max="6" width="29.33203125" bestFit="1" customWidth="1"/>
    <col min="7" max="7" width="6.5546875" bestFit="1" customWidth="1"/>
    <col min="8" max="8" width="9.88671875" bestFit="1" customWidth="1"/>
    <col min="9" max="9" width="16.33203125" bestFit="1" customWidth="1"/>
    <col min="10" max="10" width="15.5546875" bestFit="1" customWidth="1"/>
    <col min="11" max="12" width="13.21875" bestFit="1" customWidth="1"/>
    <col min="13" max="13" width="3.44140625" bestFit="1" customWidth="1"/>
    <col min="14" max="14" width="35.5546875" bestFit="1" customWidth="1"/>
    <col min="15" max="15" width="14.5546875" bestFit="1" customWidth="1"/>
    <col min="16" max="16" width="17.77734375" bestFit="1" customWidth="1"/>
    <col min="17" max="17" width="12.5546875" bestFit="1" customWidth="1"/>
    <col min="18" max="18" width="13.77734375" bestFit="1" customWidth="1"/>
    <col min="19" max="19" width="15.6640625" bestFit="1" customWidth="1"/>
    <col min="20" max="20" width="3.77734375" bestFit="1" customWidth="1"/>
    <col min="21" max="21" width="19.77734375" bestFit="1" customWidth="1"/>
    <col min="22" max="22" width="14.21875" bestFit="1" customWidth="1"/>
    <col min="23" max="23" width="19" bestFit="1" customWidth="1"/>
    <col min="24" max="25" width="20.88671875" bestFit="1" customWidth="1"/>
    <col min="26" max="26" width="26.109375" bestFit="1" customWidth="1"/>
  </cols>
  <sheetData>
    <row r="1" spans="1:26" ht="28.8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6" x14ac:dyDescent="0.3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</row>
    <row r="4" spans="1:26" ht="30" x14ac:dyDescent="0.3">
      <c r="A4" s="8" t="s">
        <v>27</v>
      </c>
      <c r="B4" s="8" t="s">
        <v>28</v>
      </c>
      <c r="C4" s="8" t="s">
        <v>29</v>
      </c>
      <c r="D4" s="8" t="s">
        <v>30</v>
      </c>
      <c r="E4" s="8" t="s">
        <v>31</v>
      </c>
      <c r="F4" s="8" t="s">
        <v>32</v>
      </c>
      <c r="G4" s="8">
        <v>2023</v>
      </c>
      <c r="H4" s="8" t="str">
        <f>CONCATENATE("34240713072")</f>
        <v>34240713072</v>
      </c>
      <c r="I4" s="8" t="s">
        <v>33</v>
      </c>
      <c r="J4" s="8" t="s">
        <v>34</v>
      </c>
      <c r="K4" s="8" t="str">
        <f t="shared" ref="K4:K67" si="0">CONCATENATE("")</f>
        <v/>
      </c>
      <c r="L4" s="8" t="str">
        <f>CONCATENATE("14 14.1 3a")</f>
        <v>14 14.1 3a</v>
      </c>
      <c r="M4" s="8" t="str">
        <f>CONCATENATE("01727390435")</f>
        <v>01727390435</v>
      </c>
      <c r="N4" s="8" t="s">
        <v>35</v>
      </c>
      <c r="O4" s="8" t="s">
        <v>36</v>
      </c>
      <c r="P4" s="9">
        <v>45371</v>
      </c>
      <c r="Q4" s="8" t="s">
        <v>37</v>
      </c>
      <c r="R4" s="8" t="s">
        <v>38</v>
      </c>
      <c r="S4" s="8" t="s">
        <v>39</v>
      </c>
      <c r="T4" s="8"/>
      <c r="U4" s="8" t="s">
        <v>40</v>
      </c>
      <c r="V4" s="8" t="s">
        <v>41</v>
      </c>
      <c r="W4" s="8" t="s">
        <v>42</v>
      </c>
      <c r="X4" s="8" t="s">
        <v>43</v>
      </c>
      <c r="Y4" s="8" t="s">
        <v>44</v>
      </c>
      <c r="Z4" s="8" t="s">
        <v>45</v>
      </c>
    </row>
    <row r="5" spans="1:26" ht="49.2" x14ac:dyDescent="0.3">
      <c r="A5" s="8" t="s">
        <v>27</v>
      </c>
      <c r="B5" s="8" t="s">
        <v>28</v>
      </c>
      <c r="C5" s="8" t="s">
        <v>29</v>
      </c>
      <c r="D5" s="8" t="s">
        <v>30</v>
      </c>
      <c r="E5" s="8" t="s">
        <v>46</v>
      </c>
      <c r="F5" s="8" t="s">
        <v>47</v>
      </c>
      <c r="G5" s="8">
        <v>2023</v>
      </c>
      <c r="H5" s="8" t="str">
        <f>CONCATENATE("34240167337")</f>
        <v>34240167337</v>
      </c>
      <c r="I5" s="8" t="s">
        <v>48</v>
      </c>
      <c r="J5" s="8" t="s">
        <v>34</v>
      </c>
      <c r="K5" s="8" t="str">
        <f t="shared" si="0"/>
        <v/>
      </c>
      <c r="L5" s="8" t="str">
        <f>CONCATENATE("10 10.1 4a")</f>
        <v>10 10.1 4a</v>
      </c>
      <c r="M5" s="8" t="str">
        <f>CONCATENATE("CRTGNN56E46L366F")</f>
        <v>CRTGNN56E46L366F</v>
      </c>
      <c r="N5" s="8" t="s">
        <v>49</v>
      </c>
      <c r="O5" s="8" t="s">
        <v>50</v>
      </c>
      <c r="P5" s="9">
        <v>45371</v>
      </c>
      <c r="Q5" s="8" t="s">
        <v>37</v>
      </c>
      <c r="R5" s="8" t="s">
        <v>38</v>
      </c>
      <c r="S5" s="8" t="s">
        <v>39</v>
      </c>
      <c r="T5" s="8"/>
      <c r="U5" s="8" t="s">
        <v>40</v>
      </c>
      <c r="V5" s="8" t="s">
        <v>51</v>
      </c>
      <c r="W5" s="8" t="s">
        <v>52</v>
      </c>
      <c r="X5" s="8" t="s">
        <v>53</v>
      </c>
      <c r="Y5" s="8" t="s">
        <v>54</v>
      </c>
      <c r="Z5" s="8" t="s">
        <v>45</v>
      </c>
    </row>
    <row r="6" spans="1:26" ht="49.2" x14ac:dyDescent="0.3">
      <c r="A6" s="8" t="s">
        <v>27</v>
      </c>
      <c r="B6" s="8" t="s">
        <v>28</v>
      </c>
      <c r="C6" s="8" t="s">
        <v>29</v>
      </c>
      <c r="D6" s="8" t="s">
        <v>30</v>
      </c>
      <c r="E6" s="8" t="s">
        <v>31</v>
      </c>
      <c r="F6" s="8" t="s">
        <v>32</v>
      </c>
      <c r="G6" s="8">
        <v>2023</v>
      </c>
      <c r="H6" s="8" t="str">
        <f>CONCATENATE("34240618040")</f>
        <v>34240618040</v>
      </c>
      <c r="I6" s="8" t="s">
        <v>48</v>
      </c>
      <c r="J6" s="8" t="s">
        <v>34</v>
      </c>
      <c r="K6" s="8" t="str">
        <f t="shared" si="0"/>
        <v/>
      </c>
      <c r="L6" s="8" t="str">
        <f>CONCATENATE("10 10.1 4a")</f>
        <v>10 10.1 4a</v>
      </c>
      <c r="M6" s="8" t="str">
        <f>CONCATENATE("STRLSN82H53E783F")</f>
        <v>STRLSN82H53E783F</v>
      </c>
      <c r="N6" s="8" t="s">
        <v>55</v>
      </c>
      <c r="O6" s="8" t="s">
        <v>50</v>
      </c>
      <c r="P6" s="9">
        <v>45371</v>
      </c>
      <c r="Q6" s="8" t="s">
        <v>37</v>
      </c>
      <c r="R6" s="8" t="s">
        <v>38</v>
      </c>
      <c r="S6" s="8" t="s">
        <v>39</v>
      </c>
      <c r="T6" s="8"/>
      <c r="U6" s="8" t="s">
        <v>40</v>
      </c>
      <c r="V6" s="8" t="s">
        <v>56</v>
      </c>
      <c r="W6" s="8" t="s">
        <v>57</v>
      </c>
      <c r="X6" s="8" t="s">
        <v>58</v>
      </c>
      <c r="Y6" s="8" t="s">
        <v>59</v>
      </c>
      <c r="Z6" s="8" t="s">
        <v>45</v>
      </c>
    </row>
    <row r="7" spans="1:26" ht="49.2" x14ac:dyDescent="0.3">
      <c r="A7" s="8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>
        <v>2023</v>
      </c>
      <c r="H7" s="8" t="str">
        <f>CONCATENATE("34240617869")</f>
        <v>34240617869</v>
      </c>
      <c r="I7" s="8" t="s">
        <v>48</v>
      </c>
      <c r="J7" s="8" t="s">
        <v>34</v>
      </c>
      <c r="K7" s="8" t="str">
        <f t="shared" si="0"/>
        <v/>
      </c>
      <c r="L7" s="8" t="str">
        <f>CONCATENATE("10 10.1 4a")</f>
        <v>10 10.1 4a</v>
      </c>
      <c r="M7" s="8" t="str">
        <f>CONCATENATE("STRLSN82H53E783F")</f>
        <v>STRLSN82H53E783F</v>
      </c>
      <c r="N7" s="8" t="s">
        <v>55</v>
      </c>
      <c r="O7" s="8" t="s">
        <v>50</v>
      </c>
      <c r="P7" s="9">
        <v>45371</v>
      </c>
      <c r="Q7" s="8" t="s">
        <v>37</v>
      </c>
      <c r="R7" s="8" t="s">
        <v>38</v>
      </c>
      <c r="S7" s="8" t="s">
        <v>39</v>
      </c>
      <c r="T7" s="8"/>
      <c r="U7" s="8" t="s">
        <v>40</v>
      </c>
      <c r="V7" s="8" t="s">
        <v>60</v>
      </c>
      <c r="W7" s="8" t="s">
        <v>61</v>
      </c>
      <c r="X7" s="8" t="s">
        <v>62</v>
      </c>
      <c r="Y7" s="8" t="s">
        <v>63</v>
      </c>
      <c r="Z7" s="8" t="s">
        <v>45</v>
      </c>
    </row>
    <row r="8" spans="1:26" ht="58.8" x14ac:dyDescent="0.3">
      <c r="A8" s="8" t="s">
        <v>27</v>
      </c>
      <c r="B8" s="8" t="s">
        <v>28</v>
      </c>
      <c r="C8" s="8" t="s">
        <v>29</v>
      </c>
      <c r="D8" s="8" t="s">
        <v>30</v>
      </c>
      <c r="E8" s="8" t="s">
        <v>31</v>
      </c>
      <c r="F8" s="8" t="s">
        <v>64</v>
      </c>
      <c r="G8" s="8">
        <v>2023</v>
      </c>
      <c r="H8" s="8" t="str">
        <f>CONCATENATE("34240090216")</f>
        <v>34240090216</v>
      </c>
      <c r="I8" s="8" t="s">
        <v>48</v>
      </c>
      <c r="J8" s="8" t="s">
        <v>34</v>
      </c>
      <c r="K8" s="8" t="str">
        <f t="shared" si="0"/>
        <v/>
      </c>
      <c r="L8" s="8" t="str">
        <f>CONCATENATE("10 10.1 4a")</f>
        <v>10 10.1 4a</v>
      </c>
      <c r="M8" s="8" t="str">
        <f>CONCATENATE("TRDMGR35P43E388Q")</f>
        <v>TRDMGR35P43E388Q</v>
      </c>
      <c r="N8" s="8" t="s">
        <v>65</v>
      </c>
      <c r="O8" s="8" t="s">
        <v>50</v>
      </c>
      <c r="P8" s="9">
        <v>45371</v>
      </c>
      <c r="Q8" s="8" t="s">
        <v>37</v>
      </c>
      <c r="R8" s="8" t="s">
        <v>38</v>
      </c>
      <c r="S8" s="8" t="s">
        <v>39</v>
      </c>
      <c r="T8" s="8"/>
      <c r="U8" s="8" t="s">
        <v>40</v>
      </c>
      <c r="V8" s="8" t="s">
        <v>66</v>
      </c>
      <c r="W8" s="8" t="s">
        <v>67</v>
      </c>
      <c r="X8" s="8" t="s">
        <v>68</v>
      </c>
      <c r="Y8" s="8" t="s">
        <v>69</v>
      </c>
      <c r="Z8" s="8" t="s">
        <v>45</v>
      </c>
    </row>
    <row r="9" spans="1:26" ht="49.2" x14ac:dyDescent="0.3">
      <c r="A9" s="8" t="s">
        <v>27</v>
      </c>
      <c r="B9" s="8" t="s">
        <v>28</v>
      </c>
      <c r="C9" s="8" t="s">
        <v>29</v>
      </c>
      <c r="D9" s="8" t="s">
        <v>30</v>
      </c>
      <c r="E9" s="8" t="s">
        <v>31</v>
      </c>
      <c r="F9" s="8" t="s">
        <v>70</v>
      </c>
      <c r="G9" s="8">
        <v>2023</v>
      </c>
      <c r="H9" s="8" t="str">
        <f>CONCATENATE("34240366426")</f>
        <v>34240366426</v>
      </c>
      <c r="I9" s="8" t="s">
        <v>48</v>
      </c>
      <c r="J9" s="8" t="s">
        <v>34</v>
      </c>
      <c r="K9" s="8" t="str">
        <f t="shared" si="0"/>
        <v/>
      </c>
      <c r="L9" s="8" t="str">
        <f>CONCATENATE("10 10.1 4a")</f>
        <v>10 10.1 4a</v>
      </c>
      <c r="M9" s="8" t="str">
        <f>CONCATENATE("MLGMRC82D19C770N")</f>
        <v>MLGMRC82D19C770N</v>
      </c>
      <c r="N9" s="8" t="s">
        <v>71</v>
      </c>
      <c r="O9" s="8" t="s">
        <v>50</v>
      </c>
      <c r="P9" s="9">
        <v>45371</v>
      </c>
      <c r="Q9" s="8" t="s">
        <v>37</v>
      </c>
      <c r="R9" s="8" t="s">
        <v>38</v>
      </c>
      <c r="S9" s="8" t="s">
        <v>39</v>
      </c>
      <c r="T9" s="8"/>
      <c r="U9" s="8" t="s">
        <v>40</v>
      </c>
      <c r="V9" s="8" t="s">
        <v>72</v>
      </c>
      <c r="W9" s="8" t="s">
        <v>73</v>
      </c>
      <c r="X9" s="8" t="s">
        <v>74</v>
      </c>
      <c r="Y9" s="8" t="s">
        <v>75</v>
      </c>
      <c r="Z9" s="8" t="s">
        <v>45</v>
      </c>
    </row>
    <row r="10" spans="1:26" ht="49.2" x14ac:dyDescent="0.3">
      <c r="A10" s="8" t="s">
        <v>27</v>
      </c>
      <c r="B10" s="8" t="s">
        <v>28</v>
      </c>
      <c r="C10" s="8" t="s">
        <v>29</v>
      </c>
      <c r="D10" s="8" t="s">
        <v>30</v>
      </c>
      <c r="E10" s="8" t="s">
        <v>76</v>
      </c>
      <c r="F10" s="8" t="s">
        <v>77</v>
      </c>
      <c r="G10" s="8">
        <v>2023</v>
      </c>
      <c r="H10" s="8" t="str">
        <f>CONCATENATE("34240712991")</f>
        <v>34240712991</v>
      </c>
      <c r="I10" s="8" t="s">
        <v>48</v>
      </c>
      <c r="J10" s="8" t="s">
        <v>34</v>
      </c>
      <c r="K10" s="8" t="str">
        <f t="shared" si="0"/>
        <v/>
      </c>
      <c r="L10" s="8" t="str">
        <f>CONCATENATE("10 10.1 4a")</f>
        <v>10 10.1 4a</v>
      </c>
      <c r="M10" s="8" t="str">
        <f>CONCATENATE("VLPVNN74R12E783T")</f>
        <v>VLPVNN74R12E783T</v>
      </c>
      <c r="N10" s="8" t="s">
        <v>78</v>
      </c>
      <c r="O10" s="8" t="s">
        <v>50</v>
      </c>
      <c r="P10" s="9">
        <v>45371</v>
      </c>
      <c r="Q10" s="8" t="s">
        <v>37</v>
      </c>
      <c r="R10" s="8" t="s">
        <v>38</v>
      </c>
      <c r="S10" s="8" t="s">
        <v>39</v>
      </c>
      <c r="T10" s="8"/>
      <c r="U10" s="8" t="s">
        <v>40</v>
      </c>
      <c r="V10" s="8" t="s">
        <v>79</v>
      </c>
      <c r="W10" s="8" t="s">
        <v>80</v>
      </c>
      <c r="X10" s="8" t="s">
        <v>81</v>
      </c>
      <c r="Y10" s="8" t="s">
        <v>82</v>
      </c>
      <c r="Z10" s="8" t="s">
        <v>45</v>
      </c>
    </row>
    <row r="11" spans="1:26" ht="30" x14ac:dyDescent="0.3">
      <c r="A11" s="8" t="s">
        <v>27</v>
      </c>
      <c r="B11" s="8" t="s">
        <v>83</v>
      </c>
      <c r="C11" s="8" t="s">
        <v>29</v>
      </c>
      <c r="D11" s="8" t="s">
        <v>84</v>
      </c>
      <c r="E11" s="8" t="s">
        <v>85</v>
      </c>
      <c r="F11" s="8" t="s">
        <v>85</v>
      </c>
      <c r="G11" s="8">
        <v>2017</v>
      </c>
      <c r="H11" s="8" t="str">
        <f>CONCATENATE("34270427031")</f>
        <v>34270427031</v>
      </c>
      <c r="I11" s="8" t="s">
        <v>33</v>
      </c>
      <c r="J11" s="8" t="s">
        <v>34</v>
      </c>
      <c r="K11" s="8" t="str">
        <f t="shared" si="0"/>
        <v/>
      </c>
      <c r="L11" s="8" t="str">
        <f>CONCATENATE("4 4.3 2a")</f>
        <v>4 4.3 2a</v>
      </c>
      <c r="M11" s="8" t="str">
        <f>CONCATENATE("80004250447")</f>
        <v>80004250447</v>
      </c>
      <c r="N11" s="8" t="s">
        <v>86</v>
      </c>
      <c r="O11" s="8" t="s">
        <v>87</v>
      </c>
      <c r="P11" s="9">
        <v>45370</v>
      </c>
      <c r="Q11" s="8" t="s">
        <v>37</v>
      </c>
      <c r="R11" s="8" t="s">
        <v>38</v>
      </c>
      <c r="S11" s="8" t="s">
        <v>39</v>
      </c>
      <c r="T11" s="8"/>
      <c r="U11" s="8" t="s">
        <v>40</v>
      </c>
      <c r="V11" s="8" t="s">
        <v>88</v>
      </c>
      <c r="W11" s="8" t="s">
        <v>89</v>
      </c>
      <c r="X11" s="8" t="s">
        <v>90</v>
      </c>
      <c r="Y11" s="8" t="s">
        <v>91</v>
      </c>
      <c r="Z11" s="8" t="s">
        <v>45</v>
      </c>
    </row>
    <row r="12" spans="1:26" ht="49.2" x14ac:dyDescent="0.3">
      <c r="A12" s="8" t="s">
        <v>27</v>
      </c>
      <c r="B12" s="8" t="s">
        <v>28</v>
      </c>
      <c r="C12" s="8" t="s">
        <v>29</v>
      </c>
      <c r="D12" s="8" t="s">
        <v>30</v>
      </c>
      <c r="E12" s="8" t="s">
        <v>31</v>
      </c>
      <c r="F12" s="8" t="s">
        <v>32</v>
      </c>
      <c r="G12" s="8">
        <v>2023</v>
      </c>
      <c r="H12" s="8" t="str">
        <f>CONCATENATE("34240284264")</f>
        <v>34240284264</v>
      </c>
      <c r="I12" s="8" t="s">
        <v>33</v>
      </c>
      <c r="J12" s="8" t="s">
        <v>34</v>
      </c>
      <c r="K12" s="8" t="str">
        <f t="shared" si="0"/>
        <v/>
      </c>
      <c r="L12" s="8" t="str">
        <f>CONCATENATE("14 14.1 3a")</f>
        <v>14 14.1 3a</v>
      </c>
      <c r="M12" s="8" t="str">
        <f>CONCATENATE("CNCFNC82E01B474C")</f>
        <v>CNCFNC82E01B474C</v>
      </c>
      <c r="N12" s="8" t="s">
        <v>92</v>
      </c>
      <c r="O12" s="8" t="s">
        <v>36</v>
      </c>
      <c r="P12" s="9">
        <v>45371</v>
      </c>
      <c r="Q12" s="8" t="s">
        <v>37</v>
      </c>
      <c r="R12" s="8" t="s">
        <v>38</v>
      </c>
      <c r="S12" s="8" t="s">
        <v>39</v>
      </c>
      <c r="T12" s="8"/>
      <c r="U12" s="8" t="s">
        <v>40</v>
      </c>
      <c r="V12" s="8" t="s">
        <v>93</v>
      </c>
      <c r="W12" s="8" t="s">
        <v>94</v>
      </c>
      <c r="X12" s="8" t="s">
        <v>95</v>
      </c>
      <c r="Y12" s="8" t="s">
        <v>96</v>
      </c>
      <c r="Z12" s="8" t="s">
        <v>45</v>
      </c>
    </row>
    <row r="13" spans="1:26" ht="30" x14ac:dyDescent="0.3">
      <c r="A13" s="8" t="s">
        <v>27</v>
      </c>
      <c r="B13" s="8" t="s">
        <v>28</v>
      </c>
      <c r="C13" s="8" t="s">
        <v>29</v>
      </c>
      <c r="D13" s="8" t="s">
        <v>30</v>
      </c>
      <c r="E13" s="8" t="s">
        <v>97</v>
      </c>
      <c r="F13" s="8" t="s">
        <v>98</v>
      </c>
      <c r="G13" s="8">
        <v>2023</v>
      </c>
      <c r="H13" s="8" t="str">
        <f>CONCATENATE("34240718204")</f>
        <v>34240718204</v>
      </c>
      <c r="I13" s="8" t="s">
        <v>33</v>
      </c>
      <c r="J13" s="8" t="s">
        <v>34</v>
      </c>
      <c r="K13" s="8" t="str">
        <f t="shared" si="0"/>
        <v/>
      </c>
      <c r="L13" s="8" t="str">
        <f>CONCATENATE("14 14.1 3a")</f>
        <v>14 14.1 3a</v>
      </c>
      <c r="M13" s="8" t="str">
        <f>CONCATENATE("01711460434")</f>
        <v>01711460434</v>
      </c>
      <c r="N13" s="8" t="s">
        <v>99</v>
      </c>
      <c r="O13" s="8" t="s">
        <v>36</v>
      </c>
      <c r="P13" s="9">
        <v>45371</v>
      </c>
      <c r="Q13" s="8" t="s">
        <v>37</v>
      </c>
      <c r="R13" s="8" t="s">
        <v>38</v>
      </c>
      <c r="S13" s="8" t="s">
        <v>39</v>
      </c>
      <c r="T13" s="8"/>
      <c r="U13" s="8" t="s">
        <v>40</v>
      </c>
      <c r="V13" s="8" t="s">
        <v>100</v>
      </c>
      <c r="W13" s="8" t="s">
        <v>101</v>
      </c>
      <c r="X13" s="8" t="s">
        <v>102</v>
      </c>
      <c r="Y13" s="8" t="s">
        <v>103</v>
      </c>
      <c r="Z13" s="8" t="s">
        <v>45</v>
      </c>
    </row>
    <row r="14" spans="1:26" ht="30" x14ac:dyDescent="0.3">
      <c r="A14" s="8" t="s">
        <v>27</v>
      </c>
      <c r="B14" s="8" t="s">
        <v>28</v>
      </c>
      <c r="C14" s="8" t="s">
        <v>29</v>
      </c>
      <c r="D14" s="8" t="s">
        <v>30</v>
      </c>
      <c r="E14" s="8" t="s">
        <v>97</v>
      </c>
      <c r="F14" s="8" t="s">
        <v>104</v>
      </c>
      <c r="G14" s="8">
        <v>2023</v>
      </c>
      <c r="H14" s="8" t="str">
        <f>CONCATENATE("34240649433")</f>
        <v>34240649433</v>
      </c>
      <c r="I14" s="8" t="s">
        <v>33</v>
      </c>
      <c r="J14" s="8" t="s">
        <v>34</v>
      </c>
      <c r="K14" s="8" t="str">
        <f t="shared" si="0"/>
        <v/>
      </c>
      <c r="L14" s="8" t="str">
        <f>CONCATENATE("14 14.1 3a")</f>
        <v>14 14.1 3a</v>
      </c>
      <c r="M14" s="8" t="str">
        <f>CONCATENATE("01761610433")</f>
        <v>01761610433</v>
      </c>
      <c r="N14" s="8" t="s">
        <v>105</v>
      </c>
      <c r="O14" s="8" t="s">
        <v>36</v>
      </c>
      <c r="P14" s="9">
        <v>45371</v>
      </c>
      <c r="Q14" s="8" t="s">
        <v>37</v>
      </c>
      <c r="R14" s="8" t="s">
        <v>38</v>
      </c>
      <c r="S14" s="8" t="s">
        <v>39</v>
      </c>
      <c r="T14" s="8"/>
      <c r="U14" s="8" t="s">
        <v>40</v>
      </c>
      <c r="V14" s="8" t="s">
        <v>106</v>
      </c>
      <c r="W14" s="8" t="s">
        <v>107</v>
      </c>
      <c r="X14" s="8" t="s">
        <v>108</v>
      </c>
      <c r="Y14" s="8" t="s">
        <v>109</v>
      </c>
      <c r="Z14" s="8" t="s">
        <v>45</v>
      </c>
    </row>
    <row r="15" spans="1:26" ht="30" x14ac:dyDescent="0.3">
      <c r="A15" s="8" t="s">
        <v>27</v>
      </c>
      <c r="B15" s="8" t="s">
        <v>28</v>
      </c>
      <c r="C15" s="8" t="s">
        <v>29</v>
      </c>
      <c r="D15" s="8" t="s">
        <v>84</v>
      </c>
      <c r="E15" s="8" t="s">
        <v>31</v>
      </c>
      <c r="F15" s="8" t="s">
        <v>110</v>
      </c>
      <c r="G15" s="8">
        <v>2023</v>
      </c>
      <c r="H15" s="8" t="str">
        <f>CONCATENATE("34240473966")</f>
        <v>34240473966</v>
      </c>
      <c r="I15" s="8" t="s">
        <v>33</v>
      </c>
      <c r="J15" s="8" t="s">
        <v>34</v>
      </c>
      <c r="K15" s="8" t="str">
        <f t="shared" si="0"/>
        <v/>
      </c>
      <c r="L15" s="8" t="str">
        <f>CONCATENATE("14 14.1 3a")</f>
        <v>14 14.1 3a</v>
      </c>
      <c r="M15" s="8" t="str">
        <f>CONCATENATE("01532790449")</f>
        <v>01532790449</v>
      </c>
      <c r="N15" s="8" t="s">
        <v>111</v>
      </c>
      <c r="O15" s="8" t="s">
        <v>112</v>
      </c>
      <c r="P15" s="9">
        <v>45371</v>
      </c>
      <c r="Q15" s="8" t="s">
        <v>37</v>
      </c>
      <c r="R15" s="8" t="s">
        <v>38</v>
      </c>
      <c r="S15" s="8" t="s">
        <v>39</v>
      </c>
      <c r="T15" s="8"/>
      <c r="U15" s="8" t="s">
        <v>40</v>
      </c>
      <c r="V15" s="8" t="s">
        <v>113</v>
      </c>
      <c r="W15" s="8" t="s">
        <v>114</v>
      </c>
      <c r="X15" s="8" t="s">
        <v>115</v>
      </c>
      <c r="Y15" s="8" t="s">
        <v>116</v>
      </c>
      <c r="Z15" s="8" t="s">
        <v>45</v>
      </c>
    </row>
    <row r="16" spans="1:26" ht="49.2" x14ac:dyDescent="0.3">
      <c r="A16" s="8" t="s">
        <v>27</v>
      </c>
      <c r="B16" s="8" t="s">
        <v>28</v>
      </c>
      <c r="C16" s="8" t="s">
        <v>29</v>
      </c>
      <c r="D16" s="8" t="s">
        <v>30</v>
      </c>
      <c r="E16" s="8" t="s">
        <v>31</v>
      </c>
      <c r="F16" s="8" t="s">
        <v>117</v>
      </c>
      <c r="G16" s="8">
        <v>2023</v>
      </c>
      <c r="H16" s="8" t="str">
        <f>CONCATENATE("34240428564")</f>
        <v>34240428564</v>
      </c>
      <c r="I16" s="8" t="s">
        <v>33</v>
      </c>
      <c r="J16" s="8" t="s">
        <v>34</v>
      </c>
      <c r="K16" s="8" t="str">
        <f t="shared" si="0"/>
        <v/>
      </c>
      <c r="L16" s="8" t="str">
        <f>CONCATENATE("14 14.1 3a")</f>
        <v>14 14.1 3a</v>
      </c>
      <c r="M16" s="8" t="str">
        <f>CONCATENATE("BRRBBR88T69I156J")</f>
        <v>BRRBBR88T69I156J</v>
      </c>
      <c r="N16" s="8" t="s">
        <v>118</v>
      </c>
      <c r="O16" s="8" t="s">
        <v>36</v>
      </c>
      <c r="P16" s="9">
        <v>45371</v>
      </c>
      <c r="Q16" s="8" t="s">
        <v>37</v>
      </c>
      <c r="R16" s="8" t="s">
        <v>38</v>
      </c>
      <c r="S16" s="8" t="s">
        <v>39</v>
      </c>
      <c r="T16" s="8"/>
      <c r="U16" s="8" t="s">
        <v>40</v>
      </c>
      <c r="V16" s="8" t="s">
        <v>119</v>
      </c>
      <c r="W16" s="8" t="s">
        <v>120</v>
      </c>
      <c r="X16" s="8" t="s">
        <v>121</v>
      </c>
      <c r="Y16" s="8" t="s">
        <v>122</v>
      </c>
      <c r="Z16" s="8" t="s">
        <v>45</v>
      </c>
    </row>
    <row r="17" spans="1:26" ht="49.2" x14ac:dyDescent="0.3">
      <c r="A17" s="8" t="s">
        <v>27</v>
      </c>
      <c r="B17" s="8" t="s">
        <v>28</v>
      </c>
      <c r="C17" s="8" t="s">
        <v>29</v>
      </c>
      <c r="D17" s="8" t="s">
        <v>30</v>
      </c>
      <c r="E17" s="8" t="s">
        <v>31</v>
      </c>
      <c r="F17" s="8" t="s">
        <v>123</v>
      </c>
      <c r="G17" s="8">
        <v>2023</v>
      </c>
      <c r="H17" s="8" t="str">
        <f>CONCATENATE("34240152495")</f>
        <v>34240152495</v>
      </c>
      <c r="I17" s="8" t="s">
        <v>33</v>
      </c>
      <c r="J17" s="8" t="s">
        <v>34</v>
      </c>
      <c r="K17" s="8" t="str">
        <f t="shared" si="0"/>
        <v/>
      </c>
      <c r="L17" s="8" t="str">
        <f>CONCATENATE("14 14.1 3a")</f>
        <v>14 14.1 3a</v>
      </c>
      <c r="M17" s="8" t="str">
        <f>CONCATENATE("NTSDTR78R26Z129B")</f>
        <v>NTSDTR78R26Z129B</v>
      </c>
      <c r="N17" s="8" t="s">
        <v>124</v>
      </c>
      <c r="O17" s="8" t="s">
        <v>36</v>
      </c>
      <c r="P17" s="9">
        <v>45371</v>
      </c>
      <c r="Q17" s="8" t="s">
        <v>37</v>
      </c>
      <c r="R17" s="8" t="s">
        <v>38</v>
      </c>
      <c r="S17" s="8" t="s">
        <v>39</v>
      </c>
      <c r="T17" s="8"/>
      <c r="U17" s="8" t="s">
        <v>40</v>
      </c>
      <c r="V17" s="8" t="s">
        <v>125</v>
      </c>
      <c r="W17" s="8" t="s">
        <v>126</v>
      </c>
      <c r="X17" s="8" t="s">
        <v>127</v>
      </c>
      <c r="Y17" s="8" t="s">
        <v>128</v>
      </c>
      <c r="Z17" s="8" t="s">
        <v>45</v>
      </c>
    </row>
    <row r="18" spans="1:26" ht="49.2" x14ac:dyDescent="0.3">
      <c r="A18" s="8" t="s">
        <v>27</v>
      </c>
      <c r="B18" s="8" t="s">
        <v>28</v>
      </c>
      <c r="C18" s="8" t="s">
        <v>29</v>
      </c>
      <c r="D18" s="8" t="s">
        <v>30</v>
      </c>
      <c r="E18" s="8" t="s">
        <v>31</v>
      </c>
      <c r="F18" s="8" t="s">
        <v>129</v>
      </c>
      <c r="G18" s="8">
        <v>2023</v>
      </c>
      <c r="H18" s="8" t="str">
        <f>CONCATENATE("34240648195")</f>
        <v>34240648195</v>
      </c>
      <c r="I18" s="8" t="s">
        <v>33</v>
      </c>
      <c r="J18" s="8" t="s">
        <v>34</v>
      </c>
      <c r="K18" s="8" t="str">
        <f t="shared" si="0"/>
        <v/>
      </c>
      <c r="L18" s="8" t="str">
        <f>CONCATENATE("14 14.1 3a")</f>
        <v>14 14.1 3a</v>
      </c>
      <c r="M18" s="8" t="str">
        <f>CONCATENATE("SNCMRA82P08L191J")</f>
        <v>SNCMRA82P08L191J</v>
      </c>
      <c r="N18" s="8" t="s">
        <v>130</v>
      </c>
      <c r="O18" s="8" t="s">
        <v>36</v>
      </c>
      <c r="P18" s="9">
        <v>45371</v>
      </c>
      <c r="Q18" s="8" t="s">
        <v>37</v>
      </c>
      <c r="R18" s="8" t="s">
        <v>38</v>
      </c>
      <c r="S18" s="8" t="s">
        <v>39</v>
      </c>
      <c r="T18" s="8"/>
      <c r="U18" s="8" t="s">
        <v>40</v>
      </c>
      <c r="V18" s="8" t="s">
        <v>131</v>
      </c>
      <c r="W18" s="8" t="s">
        <v>132</v>
      </c>
      <c r="X18" s="8" t="s">
        <v>133</v>
      </c>
      <c r="Y18" s="8" t="s">
        <v>134</v>
      </c>
      <c r="Z18" s="8" t="s">
        <v>45</v>
      </c>
    </row>
    <row r="19" spans="1:26" ht="30" x14ac:dyDescent="0.3">
      <c r="A19" s="8" t="s">
        <v>27</v>
      </c>
      <c r="B19" s="8" t="s">
        <v>28</v>
      </c>
      <c r="C19" s="8" t="s">
        <v>29</v>
      </c>
      <c r="D19" s="8" t="s">
        <v>30</v>
      </c>
      <c r="E19" s="8" t="s">
        <v>31</v>
      </c>
      <c r="F19" s="8" t="s">
        <v>32</v>
      </c>
      <c r="G19" s="8">
        <v>2023</v>
      </c>
      <c r="H19" s="8" t="str">
        <f>CONCATENATE("34240665009")</f>
        <v>34240665009</v>
      </c>
      <c r="I19" s="8" t="s">
        <v>33</v>
      </c>
      <c r="J19" s="8" t="s">
        <v>34</v>
      </c>
      <c r="K19" s="8" t="str">
        <f t="shared" si="0"/>
        <v/>
      </c>
      <c r="L19" s="8" t="str">
        <f>CONCATENATE("14 14.1 3a")</f>
        <v>14 14.1 3a</v>
      </c>
      <c r="M19" s="8" t="str">
        <f>CONCATENATE("01914540438")</f>
        <v>01914540438</v>
      </c>
      <c r="N19" s="8" t="s">
        <v>135</v>
      </c>
      <c r="O19" s="8" t="s">
        <v>36</v>
      </c>
      <c r="P19" s="9">
        <v>45371</v>
      </c>
      <c r="Q19" s="8" t="s">
        <v>37</v>
      </c>
      <c r="R19" s="8" t="s">
        <v>38</v>
      </c>
      <c r="S19" s="8" t="s">
        <v>39</v>
      </c>
      <c r="T19" s="8"/>
      <c r="U19" s="8" t="s">
        <v>40</v>
      </c>
      <c r="V19" s="8" t="s">
        <v>136</v>
      </c>
      <c r="W19" s="8" t="s">
        <v>137</v>
      </c>
      <c r="X19" s="8" t="s">
        <v>138</v>
      </c>
      <c r="Y19" s="8" t="s">
        <v>139</v>
      </c>
      <c r="Z19" s="8" t="s">
        <v>45</v>
      </c>
    </row>
    <row r="20" spans="1:26" ht="49.2" x14ac:dyDescent="0.3">
      <c r="A20" s="8" t="s">
        <v>27</v>
      </c>
      <c r="B20" s="8" t="s">
        <v>28</v>
      </c>
      <c r="C20" s="8" t="s">
        <v>29</v>
      </c>
      <c r="D20" s="8" t="s">
        <v>140</v>
      </c>
      <c r="E20" s="8" t="s">
        <v>76</v>
      </c>
      <c r="F20" s="8" t="s">
        <v>141</v>
      </c>
      <c r="G20" s="8">
        <v>2023</v>
      </c>
      <c r="H20" s="8" t="str">
        <f>CONCATENATE("34240282946")</f>
        <v>34240282946</v>
      </c>
      <c r="I20" s="8" t="s">
        <v>48</v>
      </c>
      <c r="J20" s="8" t="s">
        <v>34</v>
      </c>
      <c r="K20" s="8" t="str">
        <f t="shared" si="0"/>
        <v/>
      </c>
      <c r="L20" s="8" t="str">
        <f>CONCATENATE("10 10.1 4a")</f>
        <v>10 10.1 4a</v>
      </c>
      <c r="M20" s="8" t="str">
        <f>CONCATENATE("BRTVDO57S10D791G")</f>
        <v>BRTVDO57S10D791G</v>
      </c>
      <c r="N20" s="8" t="s">
        <v>142</v>
      </c>
      <c r="O20" s="8" t="s">
        <v>50</v>
      </c>
      <c r="P20" s="9">
        <v>45371</v>
      </c>
      <c r="Q20" s="8" t="s">
        <v>37</v>
      </c>
      <c r="R20" s="8" t="s">
        <v>38</v>
      </c>
      <c r="S20" s="8" t="s">
        <v>39</v>
      </c>
      <c r="T20" s="8"/>
      <c r="U20" s="8" t="s">
        <v>40</v>
      </c>
      <c r="V20" s="8" t="s">
        <v>143</v>
      </c>
      <c r="W20" s="8" t="s">
        <v>144</v>
      </c>
      <c r="X20" s="8" t="s">
        <v>145</v>
      </c>
      <c r="Y20" s="8" t="s">
        <v>146</v>
      </c>
      <c r="Z20" s="8" t="s">
        <v>45</v>
      </c>
    </row>
    <row r="21" spans="1:26" ht="58.8" x14ac:dyDescent="0.3">
      <c r="A21" s="8" t="s">
        <v>27</v>
      </c>
      <c r="B21" s="8" t="s">
        <v>28</v>
      </c>
      <c r="C21" s="8" t="s">
        <v>29</v>
      </c>
      <c r="D21" s="8" t="s">
        <v>30</v>
      </c>
      <c r="E21" s="8" t="s">
        <v>31</v>
      </c>
      <c r="F21" s="8" t="s">
        <v>123</v>
      </c>
      <c r="G21" s="8">
        <v>2023</v>
      </c>
      <c r="H21" s="8" t="str">
        <f>CONCATENATE("34240539782")</f>
        <v>34240539782</v>
      </c>
      <c r="I21" s="8" t="s">
        <v>33</v>
      </c>
      <c r="J21" s="8" t="s">
        <v>34</v>
      </c>
      <c r="K21" s="8" t="str">
        <f t="shared" si="0"/>
        <v/>
      </c>
      <c r="L21" s="8" t="str">
        <f>CONCATENATE("14 14.1 3a")</f>
        <v>14 14.1 3a</v>
      </c>
      <c r="M21" s="8" t="str">
        <f>CONCATENATE("LBNPRZ65A12B474W")</f>
        <v>LBNPRZ65A12B474W</v>
      </c>
      <c r="N21" s="8" t="s">
        <v>147</v>
      </c>
      <c r="O21" s="8" t="s">
        <v>36</v>
      </c>
      <c r="P21" s="9">
        <v>45371</v>
      </c>
      <c r="Q21" s="8" t="s">
        <v>37</v>
      </c>
      <c r="R21" s="8" t="s">
        <v>38</v>
      </c>
      <c r="S21" s="8" t="s">
        <v>39</v>
      </c>
      <c r="T21" s="8"/>
      <c r="U21" s="8" t="s">
        <v>40</v>
      </c>
      <c r="V21" s="8" t="s">
        <v>148</v>
      </c>
      <c r="W21" s="8" t="s">
        <v>149</v>
      </c>
      <c r="X21" s="8" t="s">
        <v>150</v>
      </c>
      <c r="Y21" s="8" t="s">
        <v>151</v>
      </c>
      <c r="Z21" s="8" t="s">
        <v>45</v>
      </c>
    </row>
    <row r="22" spans="1:26" ht="49.2" x14ac:dyDescent="0.3">
      <c r="A22" s="8" t="s">
        <v>27</v>
      </c>
      <c r="B22" s="8" t="s">
        <v>28</v>
      </c>
      <c r="C22" s="8" t="s">
        <v>29</v>
      </c>
      <c r="D22" s="8" t="s">
        <v>84</v>
      </c>
      <c r="E22" s="8" t="s">
        <v>76</v>
      </c>
      <c r="F22" s="8" t="s">
        <v>152</v>
      </c>
      <c r="G22" s="8">
        <v>2023</v>
      </c>
      <c r="H22" s="8" t="str">
        <f>CONCATENATE("34240441252")</f>
        <v>34240441252</v>
      </c>
      <c r="I22" s="8" t="s">
        <v>33</v>
      </c>
      <c r="J22" s="8" t="s">
        <v>34</v>
      </c>
      <c r="K22" s="8" t="str">
        <f t="shared" si="0"/>
        <v/>
      </c>
      <c r="L22" s="8" t="str">
        <f>CONCATENATE("14 14.1 3a")</f>
        <v>14 14.1 3a</v>
      </c>
      <c r="M22" s="8" t="str">
        <f>CONCATENATE("VGNLLN61M50Z110B")</f>
        <v>VGNLLN61M50Z110B</v>
      </c>
      <c r="N22" s="8" t="s">
        <v>153</v>
      </c>
      <c r="O22" s="8" t="s">
        <v>112</v>
      </c>
      <c r="P22" s="9">
        <v>45371</v>
      </c>
      <c r="Q22" s="8" t="s">
        <v>37</v>
      </c>
      <c r="R22" s="8" t="s">
        <v>38</v>
      </c>
      <c r="S22" s="8" t="s">
        <v>39</v>
      </c>
      <c r="T22" s="8"/>
      <c r="U22" s="8" t="s">
        <v>40</v>
      </c>
      <c r="V22" s="8" t="s">
        <v>154</v>
      </c>
      <c r="W22" s="8" t="s">
        <v>155</v>
      </c>
      <c r="X22" s="8" t="s">
        <v>156</v>
      </c>
      <c r="Y22" s="8" t="s">
        <v>157</v>
      </c>
      <c r="Z22" s="8" t="s">
        <v>45</v>
      </c>
    </row>
    <row r="23" spans="1:26" ht="49.2" x14ac:dyDescent="0.3">
      <c r="A23" s="8" t="s">
        <v>27</v>
      </c>
      <c r="B23" s="8" t="s">
        <v>28</v>
      </c>
      <c r="C23" s="8" t="s">
        <v>29</v>
      </c>
      <c r="D23" s="8" t="s">
        <v>84</v>
      </c>
      <c r="E23" s="8" t="s">
        <v>31</v>
      </c>
      <c r="F23" s="8" t="s">
        <v>158</v>
      </c>
      <c r="G23" s="8">
        <v>2023</v>
      </c>
      <c r="H23" s="8" t="str">
        <f>CONCATENATE("34240444835")</f>
        <v>34240444835</v>
      </c>
      <c r="I23" s="8" t="s">
        <v>33</v>
      </c>
      <c r="J23" s="8" t="s">
        <v>34</v>
      </c>
      <c r="K23" s="8" t="str">
        <f t="shared" si="0"/>
        <v/>
      </c>
      <c r="L23" s="8" t="str">
        <f>CONCATENATE("14 14.1 3a")</f>
        <v>14 14.1 3a</v>
      </c>
      <c r="M23" s="8" t="str">
        <f>CONCATENATE("SLVMPT51T14Z600Q")</f>
        <v>SLVMPT51T14Z600Q</v>
      </c>
      <c r="N23" s="8" t="s">
        <v>159</v>
      </c>
      <c r="O23" s="8" t="s">
        <v>112</v>
      </c>
      <c r="P23" s="9">
        <v>45371</v>
      </c>
      <c r="Q23" s="8" t="s">
        <v>37</v>
      </c>
      <c r="R23" s="8" t="s">
        <v>38</v>
      </c>
      <c r="S23" s="8" t="s">
        <v>39</v>
      </c>
      <c r="T23" s="8"/>
      <c r="U23" s="8" t="s">
        <v>40</v>
      </c>
      <c r="V23" s="8" t="s">
        <v>160</v>
      </c>
      <c r="W23" s="8" t="s">
        <v>161</v>
      </c>
      <c r="X23" s="8" t="s">
        <v>162</v>
      </c>
      <c r="Y23" s="8" t="s">
        <v>163</v>
      </c>
      <c r="Z23" s="8" t="s">
        <v>45</v>
      </c>
    </row>
    <row r="24" spans="1:26" ht="49.2" x14ac:dyDescent="0.3">
      <c r="A24" s="8" t="s">
        <v>27</v>
      </c>
      <c r="B24" s="8" t="s">
        <v>28</v>
      </c>
      <c r="C24" s="8" t="s">
        <v>29</v>
      </c>
      <c r="D24" s="8" t="s">
        <v>30</v>
      </c>
      <c r="E24" s="8" t="s">
        <v>31</v>
      </c>
      <c r="F24" s="8" t="s">
        <v>70</v>
      </c>
      <c r="G24" s="8">
        <v>2023</v>
      </c>
      <c r="H24" s="8" t="str">
        <f>CONCATENATE("34240143817")</f>
        <v>34240143817</v>
      </c>
      <c r="I24" s="8" t="s">
        <v>48</v>
      </c>
      <c r="J24" s="8" t="s">
        <v>34</v>
      </c>
      <c r="K24" s="8" t="str">
        <f t="shared" si="0"/>
        <v/>
      </c>
      <c r="L24" s="8" t="str">
        <f>CONCATENATE("10 10.1 4a")</f>
        <v>10 10.1 4a</v>
      </c>
      <c r="M24" s="8" t="str">
        <f>CONCATENATE("MGLPNI52L42E783F")</f>
        <v>MGLPNI52L42E783F</v>
      </c>
      <c r="N24" s="8" t="s">
        <v>164</v>
      </c>
      <c r="O24" s="8" t="s">
        <v>50</v>
      </c>
      <c r="P24" s="9">
        <v>45371</v>
      </c>
      <c r="Q24" s="8" t="s">
        <v>37</v>
      </c>
      <c r="R24" s="8" t="s">
        <v>38</v>
      </c>
      <c r="S24" s="8" t="s">
        <v>39</v>
      </c>
      <c r="T24" s="8"/>
      <c r="U24" s="8" t="s">
        <v>40</v>
      </c>
      <c r="V24" s="8" t="s">
        <v>165</v>
      </c>
      <c r="W24" s="8" t="s">
        <v>166</v>
      </c>
      <c r="X24" s="8" t="s">
        <v>167</v>
      </c>
      <c r="Y24" s="8" t="s">
        <v>168</v>
      </c>
      <c r="Z24" s="8" t="s">
        <v>45</v>
      </c>
    </row>
    <row r="25" spans="1:26" ht="49.2" x14ac:dyDescent="0.3">
      <c r="A25" s="8" t="s">
        <v>27</v>
      </c>
      <c r="B25" s="8" t="s">
        <v>28</v>
      </c>
      <c r="C25" s="8" t="s">
        <v>29</v>
      </c>
      <c r="D25" s="8" t="s">
        <v>30</v>
      </c>
      <c r="E25" s="8" t="s">
        <v>97</v>
      </c>
      <c r="F25" s="8" t="s">
        <v>169</v>
      </c>
      <c r="G25" s="8">
        <v>2023</v>
      </c>
      <c r="H25" s="8" t="str">
        <f>CONCATENATE("34240281690")</f>
        <v>34240281690</v>
      </c>
      <c r="I25" s="8" t="s">
        <v>48</v>
      </c>
      <c r="J25" s="8" t="s">
        <v>34</v>
      </c>
      <c r="K25" s="8" t="str">
        <f t="shared" si="0"/>
        <v/>
      </c>
      <c r="L25" s="8" t="str">
        <f>CONCATENATE("10 10.1 4a")</f>
        <v>10 10.1 4a</v>
      </c>
      <c r="M25" s="8" t="str">
        <f>CONCATENATE("SLTLCU82T63L191L")</f>
        <v>SLTLCU82T63L191L</v>
      </c>
      <c r="N25" s="8" t="s">
        <v>170</v>
      </c>
      <c r="O25" s="8" t="s">
        <v>50</v>
      </c>
      <c r="P25" s="9">
        <v>45371</v>
      </c>
      <c r="Q25" s="8" t="s">
        <v>37</v>
      </c>
      <c r="R25" s="8" t="s">
        <v>38</v>
      </c>
      <c r="S25" s="8" t="s">
        <v>39</v>
      </c>
      <c r="T25" s="8"/>
      <c r="U25" s="8" t="s">
        <v>40</v>
      </c>
      <c r="V25" s="8" t="s">
        <v>171</v>
      </c>
      <c r="W25" s="8" t="s">
        <v>172</v>
      </c>
      <c r="X25" s="8" t="s">
        <v>173</v>
      </c>
      <c r="Y25" s="8" t="s">
        <v>174</v>
      </c>
      <c r="Z25" s="8" t="s">
        <v>45</v>
      </c>
    </row>
    <row r="26" spans="1:26" ht="49.2" x14ac:dyDescent="0.3">
      <c r="A26" s="8" t="s">
        <v>27</v>
      </c>
      <c r="B26" s="8" t="s">
        <v>28</v>
      </c>
      <c r="C26" s="8" t="s">
        <v>29</v>
      </c>
      <c r="D26" s="8" t="s">
        <v>30</v>
      </c>
      <c r="E26" s="8" t="s">
        <v>31</v>
      </c>
      <c r="F26" s="8" t="s">
        <v>64</v>
      </c>
      <c r="G26" s="8">
        <v>2023</v>
      </c>
      <c r="H26" s="8" t="str">
        <f>CONCATENATE("34240218940")</f>
        <v>34240218940</v>
      </c>
      <c r="I26" s="8" t="s">
        <v>48</v>
      </c>
      <c r="J26" s="8" t="s">
        <v>34</v>
      </c>
      <c r="K26" s="8" t="str">
        <f t="shared" si="0"/>
        <v/>
      </c>
      <c r="L26" s="8" t="str">
        <f>CONCATENATE("10 10.1 4a")</f>
        <v>10 10.1 4a</v>
      </c>
      <c r="M26" s="8" t="str">
        <f>CONCATENATE("CPRMRS64T59F552X")</f>
        <v>CPRMRS64T59F552X</v>
      </c>
      <c r="N26" s="8" t="s">
        <v>175</v>
      </c>
      <c r="O26" s="8" t="s">
        <v>50</v>
      </c>
      <c r="P26" s="9">
        <v>45371</v>
      </c>
      <c r="Q26" s="8" t="s">
        <v>37</v>
      </c>
      <c r="R26" s="8" t="s">
        <v>38</v>
      </c>
      <c r="S26" s="8" t="s">
        <v>39</v>
      </c>
      <c r="T26" s="8"/>
      <c r="U26" s="8" t="s">
        <v>40</v>
      </c>
      <c r="V26" s="8" t="s">
        <v>176</v>
      </c>
      <c r="W26" s="8" t="s">
        <v>177</v>
      </c>
      <c r="X26" s="8" t="s">
        <v>178</v>
      </c>
      <c r="Y26" s="8" t="s">
        <v>179</v>
      </c>
      <c r="Z26" s="8" t="s">
        <v>45</v>
      </c>
    </row>
    <row r="27" spans="1:26" ht="49.2" x14ac:dyDescent="0.3">
      <c r="A27" s="8" t="s">
        <v>27</v>
      </c>
      <c r="B27" s="8" t="s">
        <v>28</v>
      </c>
      <c r="C27" s="8" t="s">
        <v>29</v>
      </c>
      <c r="D27" s="8" t="s">
        <v>30</v>
      </c>
      <c r="E27" s="8" t="s">
        <v>97</v>
      </c>
      <c r="F27" s="8" t="s">
        <v>104</v>
      </c>
      <c r="G27" s="8">
        <v>2023</v>
      </c>
      <c r="H27" s="8" t="str">
        <f>CONCATENATE("34240301522")</f>
        <v>34240301522</v>
      </c>
      <c r="I27" s="8" t="s">
        <v>48</v>
      </c>
      <c r="J27" s="8" t="s">
        <v>34</v>
      </c>
      <c r="K27" s="8" t="str">
        <f t="shared" si="0"/>
        <v/>
      </c>
      <c r="L27" s="8" t="str">
        <f>CONCATENATE("10 10.1 4a")</f>
        <v>10 10.1 4a</v>
      </c>
      <c r="M27" s="8" t="str">
        <f>CONCATENATE("TSTMNL83S02I156A")</f>
        <v>TSTMNL83S02I156A</v>
      </c>
      <c r="N27" s="8" t="s">
        <v>180</v>
      </c>
      <c r="O27" s="8" t="s">
        <v>50</v>
      </c>
      <c r="P27" s="9">
        <v>45371</v>
      </c>
      <c r="Q27" s="8" t="s">
        <v>37</v>
      </c>
      <c r="R27" s="8" t="s">
        <v>38</v>
      </c>
      <c r="S27" s="8" t="s">
        <v>39</v>
      </c>
      <c r="T27" s="8"/>
      <c r="U27" s="8" t="s">
        <v>40</v>
      </c>
      <c r="V27" s="8" t="s">
        <v>181</v>
      </c>
      <c r="W27" s="8" t="s">
        <v>182</v>
      </c>
      <c r="X27" s="8" t="s">
        <v>183</v>
      </c>
      <c r="Y27" s="8" t="s">
        <v>184</v>
      </c>
      <c r="Z27" s="8" t="s">
        <v>45</v>
      </c>
    </row>
    <row r="28" spans="1:26" ht="30" x14ac:dyDescent="0.3">
      <c r="A28" s="8" t="s">
        <v>27</v>
      </c>
      <c r="B28" s="8" t="s">
        <v>83</v>
      </c>
      <c r="C28" s="8" t="s">
        <v>29</v>
      </c>
      <c r="D28" s="8" t="s">
        <v>29</v>
      </c>
      <c r="E28" s="8" t="s">
        <v>85</v>
      </c>
      <c r="F28" s="8" t="s">
        <v>85</v>
      </c>
      <c r="G28" s="8">
        <v>2017</v>
      </c>
      <c r="H28" s="8" t="str">
        <f>CONCATENATE("34270426918")</f>
        <v>34270426918</v>
      </c>
      <c r="I28" s="8" t="s">
        <v>48</v>
      </c>
      <c r="J28" s="8" t="s">
        <v>34</v>
      </c>
      <c r="K28" s="8" t="str">
        <f t="shared" si="0"/>
        <v/>
      </c>
      <c r="L28" s="8" t="str">
        <f>CONCATENATE("19 19.2 6b")</f>
        <v>19 19.2 6b</v>
      </c>
      <c r="M28" s="8" t="str">
        <f>CONCATENATE("81001490440")</f>
        <v>81001490440</v>
      </c>
      <c r="N28" s="8" t="s">
        <v>185</v>
      </c>
      <c r="O28" s="8" t="s">
        <v>186</v>
      </c>
      <c r="P28" s="9">
        <v>45370</v>
      </c>
      <c r="Q28" s="8" t="s">
        <v>37</v>
      </c>
      <c r="R28" s="8" t="s">
        <v>38</v>
      </c>
      <c r="S28" s="8" t="s">
        <v>39</v>
      </c>
      <c r="T28" s="8"/>
      <c r="U28" s="8" t="s">
        <v>40</v>
      </c>
      <c r="V28" s="8" t="s">
        <v>187</v>
      </c>
      <c r="W28" s="8" t="s">
        <v>188</v>
      </c>
      <c r="X28" s="8" t="s">
        <v>189</v>
      </c>
      <c r="Y28" s="8" t="s">
        <v>190</v>
      </c>
      <c r="Z28" s="8" t="s">
        <v>45</v>
      </c>
    </row>
    <row r="29" spans="1:26" ht="30" x14ac:dyDescent="0.3">
      <c r="A29" s="8" t="s">
        <v>27</v>
      </c>
      <c r="B29" s="8" t="s">
        <v>83</v>
      </c>
      <c r="C29" s="8" t="s">
        <v>29</v>
      </c>
      <c r="D29" s="8" t="s">
        <v>29</v>
      </c>
      <c r="E29" s="8" t="s">
        <v>85</v>
      </c>
      <c r="F29" s="8" t="s">
        <v>85</v>
      </c>
      <c r="G29" s="8">
        <v>2017</v>
      </c>
      <c r="H29" s="8" t="str">
        <f>CONCATENATE("34270426884")</f>
        <v>34270426884</v>
      </c>
      <c r="I29" s="8" t="s">
        <v>48</v>
      </c>
      <c r="J29" s="8" t="s">
        <v>34</v>
      </c>
      <c r="K29" s="8" t="str">
        <f t="shared" si="0"/>
        <v/>
      </c>
      <c r="L29" s="8" t="str">
        <f>CONCATENATE("19 19.2 6b")</f>
        <v>19 19.2 6b</v>
      </c>
      <c r="M29" s="8" t="str">
        <f>CONCATENATE("00380940445")</f>
        <v>00380940445</v>
      </c>
      <c r="N29" s="8" t="s">
        <v>191</v>
      </c>
      <c r="O29" s="8" t="s">
        <v>186</v>
      </c>
      <c r="P29" s="9">
        <v>45370</v>
      </c>
      <c r="Q29" s="8" t="s">
        <v>37</v>
      </c>
      <c r="R29" s="8" t="s">
        <v>38</v>
      </c>
      <c r="S29" s="8" t="s">
        <v>39</v>
      </c>
      <c r="T29" s="8"/>
      <c r="U29" s="8" t="s">
        <v>40</v>
      </c>
      <c r="V29" s="8" t="s">
        <v>192</v>
      </c>
      <c r="W29" s="8" t="s">
        <v>193</v>
      </c>
      <c r="X29" s="8" t="s">
        <v>194</v>
      </c>
      <c r="Y29" s="8" t="s">
        <v>195</v>
      </c>
      <c r="Z29" s="8" t="s">
        <v>45</v>
      </c>
    </row>
    <row r="30" spans="1:26" ht="30" x14ac:dyDescent="0.3">
      <c r="A30" s="8" t="s">
        <v>27</v>
      </c>
      <c r="B30" s="8" t="s">
        <v>83</v>
      </c>
      <c r="C30" s="8" t="s">
        <v>29</v>
      </c>
      <c r="D30" s="8" t="s">
        <v>29</v>
      </c>
      <c r="E30" s="8" t="s">
        <v>85</v>
      </c>
      <c r="F30" s="8" t="s">
        <v>85</v>
      </c>
      <c r="G30" s="8">
        <v>2017</v>
      </c>
      <c r="H30" s="8" t="str">
        <f>CONCATENATE("34270426942")</f>
        <v>34270426942</v>
      </c>
      <c r="I30" s="8" t="s">
        <v>48</v>
      </c>
      <c r="J30" s="8" t="s">
        <v>34</v>
      </c>
      <c r="K30" s="8" t="str">
        <f t="shared" si="0"/>
        <v/>
      </c>
      <c r="L30" s="8" t="str">
        <f>CONCATENATE("19 19.2 6b")</f>
        <v>19 19.2 6b</v>
      </c>
      <c r="M30" s="8" t="str">
        <f>CONCATENATE("00385810445")</f>
        <v>00385810445</v>
      </c>
      <c r="N30" s="8" t="s">
        <v>196</v>
      </c>
      <c r="O30" s="8" t="s">
        <v>186</v>
      </c>
      <c r="P30" s="9">
        <v>45370</v>
      </c>
      <c r="Q30" s="8" t="s">
        <v>37</v>
      </c>
      <c r="R30" s="8" t="s">
        <v>38</v>
      </c>
      <c r="S30" s="8" t="s">
        <v>39</v>
      </c>
      <c r="T30" s="8"/>
      <c r="U30" s="8" t="s">
        <v>40</v>
      </c>
      <c r="V30" s="8" t="s">
        <v>197</v>
      </c>
      <c r="W30" s="8" t="s">
        <v>198</v>
      </c>
      <c r="X30" s="8" t="s">
        <v>199</v>
      </c>
      <c r="Y30" s="8" t="s">
        <v>200</v>
      </c>
      <c r="Z30" s="8" t="s">
        <v>45</v>
      </c>
    </row>
    <row r="31" spans="1:26" ht="30" x14ac:dyDescent="0.3">
      <c r="A31" s="8" t="s">
        <v>27</v>
      </c>
      <c r="B31" s="8" t="s">
        <v>83</v>
      </c>
      <c r="C31" s="8" t="s">
        <v>29</v>
      </c>
      <c r="D31" s="8" t="s">
        <v>29</v>
      </c>
      <c r="E31" s="8" t="s">
        <v>85</v>
      </c>
      <c r="F31" s="8" t="s">
        <v>85</v>
      </c>
      <c r="G31" s="8">
        <v>2017</v>
      </c>
      <c r="H31" s="8" t="str">
        <f>CONCATENATE("34270426892")</f>
        <v>34270426892</v>
      </c>
      <c r="I31" s="8" t="s">
        <v>48</v>
      </c>
      <c r="J31" s="8" t="s">
        <v>34</v>
      </c>
      <c r="K31" s="8" t="str">
        <f t="shared" si="0"/>
        <v/>
      </c>
      <c r="L31" s="8" t="str">
        <f>CONCATENATE("19 19.2 6b")</f>
        <v>19 19.2 6b</v>
      </c>
      <c r="M31" s="8" t="str">
        <f>CONCATENATE("81001890441")</f>
        <v>81001890441</v>
      </c>
      <c r="N31" s="8" t="s">
        <v>201</v>
      </c>
      <c r="O31" s="8" t="s">
        <v>186</v>
      </c>
      <c r="P31" s="9">
        <v>45370</v>
      </c>
      <c r="Q31" s="8" t="s">
        <v>37</v>
      </c>
      <c r="R31" s="8" t="s">
        <v>38</v>
      </c>
      <c r="S31" s="8" t="s">
        <v>39</v>
      </c>
      <c r="T31" s="8"/>
      <c r="U31" s="8" t="s">
        <v>40</v>
      </c>
      <c r="V31" s="8" t="s">
        <v>202</v>
      </c>
      <c r="W31" s="8" t="s">
        <v>203</v>
      </c>
      <c r="X31" s="8" t="s">
        <v>204</v>
      </c>
      <c r="Y31" s="8" t="s">
        <v>205</v>
      </c>
      <c r="Z31" s="8" t="s">
        <v>45</v>
      </c>
    </row>
    <row r="32" spans="1:26" ht="30" x14ac:dyDescent="0.3">
      <c r="A32" s="8" t="s">
        <v>27</v>
      </c>
      <c r="B32" s="8" t="s">
        <v>83</v>
      </c>
      <c r="C32" s="8" t="s">
        <v>29</v>
      </c>
      <c r="D32" s="8" t="s">
        <v>206</v>
      </c>
      <c r="E32" s="8" t="s">
        <v>85</v>
      </c>
      <c r="F32" s="8" t="s">
        <v>85</v>
      </c>
      <c r="G32" s="8">
        <v>2017</v>
      </c>
      <c r="H32" s="8" t="str">
        <f>CONCATENATE("44270043670")</f>
        <v>44270043670</v>
      </c>
      <c r="I32" s="8" t="s">
        <v>48</v>
      </c>
      <c r="J32" s="8" t="s">
        <v>34</v>
      </c>
      <c r="K32" s="8" t="str">
        <f t="shared" si="0"/>
        <v/>
      </c>
      <c r="L32" s="8" t="str">
        <f>CONCATENATE("1 1.1 2a")</f>
        <v>1 1.1 2a</v>
      </c>
      <c r="M32" s="8" t="str">
        <f>CONCATENATE("02051370423")</f>
        <v>02051370423</v>
      </c>
      <c r="N32" s="8" t="s">
        <v>207</v>
      </c>
      <c r="O32" s="8" t="s">
        <v>208</v>
      </c>
      <c r="P32" s="9">
        <v>45370</v>
      </c>
      <c r="Q32" s="8" t="s">
        <v>37</v>
      </c>
      <c r="R32" s="8" t="s">
        <v>38</v>
      </c>
      <c r="S32" s="8" t="s">
        <v>39</v>
      </c>
      <c r="T32" s="8"/>
      <c r="U32" s="8" t="s">
        <v>40</v>
      </c>
      <c r="V32" s="8" t="s">
        <v>209</v>
      </c>
      <c r="W32" s="8" t="s">
        <v>210</v>
      </c>
      <c r="X32" s="8" t="s">
        <v>211</v>
      </c>
      <c r="Y32" s="8" t="s">
        <v>212</v>
      </c>
      <c r="Z32" s="8" t="s">
        <v>45</v>
      </c>
    </row>
    <row r="33" spans="1:26" ht="30" x14ac:dyDescent="0.3">
      <c r="A33" s="8" t="s">
        <v>27</v>
      </c>
      <c r="B33" s="8" t="s">
        <v>83</v>
      </c>
      <c r="C33" s="8" t="s">
        <v>29</v>
      </c>
      <c r="D33" s="8" t="s">
        <v>29</v>
      </c>
      <c r="E33" s="8" t="s">
        <v>85</v>
      </c>
      <c r="F33" s="8" t="s">
        <v>85</v>
      </c>
      <c r="G33" s="8">
        <v>2017</v>
      </c>
      <c r="H33" s="8" t="str">
        <f>CONCATENATE("34270427049")</f>
        <v>34270427049</v>
      </c>
      <c r="I33" s="8" t="s">
        <v>33</v>
      </c>
      <c r="J33" s="8" t="s">
        <v>34</v>
      </c>
      <c r="K33" s="8" t="str">
        <f t="shared" si="0"/>
        <v/>
      </c>
      <c r="L33" s="8" t="str">
        <f>CONCATENATE("19 19.2 6b")</f>
        <v>19 19.2 6b</v>
      </c>
      <c r="M33" s="8" t="str">
        <f>CONCATENATE("00172960429")</f>
        <v>00172960429</v>
      </c>
      <c r="N33" s="8" t="s">
        <v>213</v>
      </c>
      <c r="O33" s="8" t="s">
        <v>214</v>
      </c>
      <c r="P33" s="9">
        <v>45370</v>
      </c>
      <c r="Q33" s="8" t="s">
        <v>37</v>
      </c>
      <c r="R33" s="8" t="s">
        <v>38</v>
      </c>
      <c r="S33" s="8" t="s">
        <v>39</v>
      </c>
      <c r="T33" s="8"/>
      <c r="U33" s="8" t="s">
        <v>40</v>
      </c>
      <c r="V33" s="8" t="s">
        <v>215</v>
      </c>
      <c r="W33" s="8" t="s">
        <v>216</v>
      </c>
      <c r="X33" s="8" t="s">
        <v>217</v>
      </c>
      <c r="Y33" s="8" t="s">
        <v>218</v>
      </c>
      <c r="Z33" s="8" t="s">
        <v>45</v>
      </c>
    </row>
    <row r="34" spans="1:26" ht="30" x14ac:dyDescent="0.3">
      <c r="A34" s="8" t="s">
        <v>27</v>
      </c>
      <c r="B34" s="8" t="s">
        <v>83</v>
      </c>
      <c r="C34" s="8" t="s">
        <v>29</v>
      </c>
      <c r="D34" s="8" t="s">
        <v>30</v>
      </c>
      <c r="E34" s="8" t="s">
        <v>85</v>
      </c>
      <c r="F34" s="8" t="s">
        <v>85</v>
      </c>
      <c r="G34" s="8">
        <v>2017</v>
      </c>
      <c r="H34" s="8" t="str">
        <f>CONCATENATE("34270426876")</f>
        <v>34270426876</v>
      </c>
      <c r="I34" s="8" t="s">
        <v>33</v>
      </c>
      <c r="J34" s="8" t="s">
        <v>34</v>
      </c>
      <c r="K34" s="8" t="str">
        <f t="shared" si="0"/>
        <v/>
      </c>
      <c r="L34" s="8" t="str">
        <f>CONCATENATE("4 4.3 2a")</f>
        <v>4 4.3 2a</v>
      </c>
      <c r="M34" s="8" t="str">
        <f>CONCATENATE("00138790431")</f>
        <v>00138790431</v>
      </c>
      <c r="N34" s="8" t="s">
        <v>219</v>
      </c>
      <c r="O34" s="8" t="s">
        <v>220</v>
      </c>
      <c r="P34" s="9">
        <v>45370</v>
      </c>
      <c r="Q34" s="8" t="s">
        <v>37</v>
      </c>
      <c r="R34" s="8" t="s">
        <v>38</v>
      </c>
      <c r="S34" s="8" t="s">
        <v>39</v>
      </c>
      <c r="T34" s="8"/>
      <c r="U34" s="8" t="s">
        <v>40</v>
      </c>
      <c r="V34" s="8" t="s">
        <v>221</v>
      </c>
      <c r="W34" s="8" t="s">
        <v>222</v>
      </c>
      <c r="X34" s="8" t="s">
        <v>223</v>
      </c>
      <c r="Y34" s="8" t="s">
        <v>224</v>
      </c>
      <c r="Z34" s="8" t="s">
        <v>45</v>
      </c>
    </row>
    <row r="35" spans="1:26" ht="30" x14ac:dyDescent="0.3">
      <c r="A35" s="8" t="s">
        <v>27</v>
      </c>
      <c r="B35" s="8" t="s">
        <v>83</v>
      </c>
      <c r="C35" s="8" t="s">
        <v>29</v>
      </c>
      <c r="D35" s="8" t="s">
        <v>84</v>
      </c>
      <c r="E35" s="8" t="s">
        <v>85</v>
      </c>
      <c r="F35" s="8" t="s">
        <v>85</v>
      </c>
      <c r="G35" s="8">
        <v>2017</v>
      </c>
      <c r="H35" s="8" t="str">
        <f>CONCATENATE("44270043696")</f>
        <v>44270043696</v>
      </c>
      <c r="I35" s="8" t="s">
        <v>48</v>
      </c>
      <c r="J35" s="8" t="s">
        <v>34</v>
      </c>
      <c r="K35" s="8" t="str">
        <f t="shared" si="0"/>
        <v/>
      </c>
      <c r="L35" s="8" t="str">
        <f>CONCATENATE("4 4.1 2a")</f>
        <v>4 4.1 2a</v>
      </c>
      <c r="M35" s="8" t="str">
        <f>CONCATENATE("02326090442")</f>
        <v>02326090442</v>
      </c>
      <c r="N35" s="8" t="s">
        <v>225</v>
      </c>
      <c r="O35" s="8" t="s">
        <v>226</v>
      </c>
      <c r="P35" s="9">
        <v>45370</v>
      </c>
      <c r="Q35" s="8" t="s">
        <v>37</v>
      </c>
      <c r="R35" s="8" t="s">
        <v>38</v>
      </c>
      <c r="S35" s="8" t="s">
        <v>39</v>
      </c>
      <c r="T35" s="8"/>
      <c r="U35" s="8" t="s">
        <v>40</v>
      </c>
      <c r="V35" s="8" t="s">
        <v>227</v>
      </c>
      <c r="W35" s="8" t="s">
        <v>228</v>
      </c>
      <c r="X35" s="8" t="s">
        <v>229</v>
      </c>
      <c r="Y35" s="8" t="s">
        <v>230</v>
      </c>
      <c r="Z35" s="8" t="s">
        <v>45</v>
      </c>
    </row>
    <row r="36" spans="1:26" ht="58.8" x14ac:dyDescent="0.3">
      <c r="A36" s="8" t="s">
        <v>27</v>
      </c>
      <c r="B36" s="8" t="s">
        <v>83</v>
      </c>
      <c r="C36" s="8" t="s">
        <v>29</v>
      </c>
      <c r="D36" s="8" t="s">
        <v>84</v>
      </c>
      <c r="E36" s="8" t="s">
        <v>31</v>
      </c>
      <c r="F36" s="8" t="s">
        <v>231</v>
      </c>
      <c r="G36" s="8">
        <v>2017</v>
      </c>
      <c r="H36" s="8" t="str">
        <f>CONCATENATE("44270043688")</f>
        <v>44270043688</v>
      </c>
      <c r="I36" s="8" t="s">
        <v>48</v>
      </c>
      <c r="J36" s="8" t="s">
        <v>34</v>
      </c>
      <c r="K36" s="8" t="str">
        <f t="shared" si="0"/>
        <v/>
      </c>
      <c r="L36" s="8" t="str">
        <f>CONCATENATE("4 4.1 2a")</f>
        <v>4 4.1 2a</v>
      </c>
      <c r="M36" s="8" t="str">
        <f>CONCATENATE("DGRMRN74B11D096A")</f>
        <v>DGRMRN74B11D096A</v>
      </c>
      <c r="N36" s="8" t="s">
        <v>232</v>
      </c>
      <c r="O36" s="8" t="s">
        <v>226</v>
      </c>
      <c r="P36" s="9">
        <v>45370</v>
      </c>
      <c r="Q36" s="8" t="s">
        <v>37</v>
      </c>
      <c r="R36" s="8" t="s">
        <v>38</v>
      </c>
      <c r="S36" s="8" t="s">
        <v>39</v>
      </c>
      <c r="T36" s="8"/>
      <c r="U36" s="8" t="s">
        <v>40</v>
      </c>
      <c r="V36" s="8" t="s">
        <v>233</v>
      </c>
      <c r="W36" s="8" t="s">
        <v>234</v>
      </c>
      <c r="X36" s="8" t="s">
        <v>235</v>
      </c>
      <c r="Y36" s="8" t="s">
        <v>236</v>
      </c>
      <c r="Z36" s="8" t="s">
        <v>45</v>
      </c>
    </row>
    <row r="37" spans="1:26" ht="30" x14ac:dyDescent="0.3">
      <c r="A37" s="8" t="s">
        <v>27</v>
      </c>
      <c r="B37" s="8" t="s">
        <v>83</v>
      </c>
      <c r="C37" s="8" t="s">
        <v>29</v>
      </c>
      <c r="D37" s="8" t="s">
        <v>84</v>
      </c>
      <c r="E37" s="8" t="s">
        <v>85</v>
      </c>
      <c r="F37" s="8" t="s">
        <v>85</v>
      </c>
      <c r="G37" s="8">
        <v>2017</v>
      </c>
      <c r="H37" s="8" t="str">
        <f>CONCATENATE("34270427056")</f>
        <v>34270427056</v>
      </c>
      <c r="I37" s="8" t="s">
        <v>33</v>
      </c>
      <c r="J37" s="8" t="s">
        <v>34</v>
      </c>
      <c r="K37" s="8" t="str">
        <f t="shared" si="0"/>
        <v/>
      </c>
      <c r="L37" s="8" t="str">
        <f>CONCATENATE("4 4.1 2a")</f>
        <v>4 4.1 2a</v>
      </c>
      <c r="M37" s="8" t="str">
        <f>CONCATENATE("02266620448")</f>
        <v>02266620448</v>
      </c>
      <c r="N37" s="8" t="s">
        <v>237</v>
      </c>
      <c r="O37" s="8" t="s">
        <v>226</v>
      </c>
      <c r="P37" s="9">
        <v>45370</v>
      </c>
      <c r="Q37" s="8" t="s">
        <v>37</v>
      </c>
      <c r="R37" s="8" t="s">
        <v>38</v>
      </c>
      <c r="S37" s="8" t="s">
        <v>39</v>
      </c>
      <c r="T37" s="8"/>
      <c r="U37" s="8" t="s">
        <v>40</v>
      </c>
      <c r="V37" s="8" t="s">
        <v>238</v>
      </c>
      <c r="W37" s="8" t="s">
        <v>239</v>
      </c>
      <c r="X37" s="8" t="s">
        <v>240</v>
      </c>
      <c r="Y37" s="8" t="s">
        <v>241</v>
      </c>
      <c r="Z37" s="8" t="s">
        <v>45</v>
      </c>
    </row>
    <row r="38" spans="1:26" ht="58.8" x14ac:dyDescent="0.3">
      <c r="A38" s="8" t="s">
        <v>27</v>
      </c>
      <c r="B38" s="8" t="s">
        <v>83</v>
      </c>
      <c r="C38" s="8" t="s">
        <v>29</v>
      </c>
      <c r="D38" s="8" t="s">
        <v>30</v>
      </c>
      <c r="E38" s="8" t="s">
        <v>31</v>
      </c>
      <c r="F38" s="8" t="s">
        <v>32</v>
      </c>
      <c r="G38" s="8">
        <v>2017</v>
      </c>
      <c r="H38" s="8" t="str">
        <f>CONCATENATE("44270041450")</f>
        <v>44270041450</v>
      </c>
      <c r="I38" s="8" t="s">
        <v>48</v>
      </c>
      <c r="J38" s="8" t="s">
        <v>34</v>
      </c>
      <c r="K38" s="8" t="str">
        <f t="shared" si="0"/>
        <v/>
      </c>
      <c r="L38" s="8" t="str">
        <f>CONCATENATE("4 4.1 2a")</f>
        <v>4 4.1 2a</v>
      </c>
      <c r="M38" s="8" t="str">
        <f>CONCATENATE("GNTRMN51T29I436U")</f>
        <v>GNTRMN51T29I436U</v>
      </c>
      <c r="N38" s="8" t="s">
        <v>242</v>
      </c>
      <c r="O38" s="8" t="s">
        <v>243</v>
      </c>
      <c r="P38" s="9">
        <v>45370</v>
      </c>
      <c r="Q38" s="8" t="s">
        <v>37</v>
      </c>
      <c r="R38" s="8" t="s">
        <v>38</v>
      </c>
      <c r="S38" s="8" t="s">
        <v>39</v>
      </c>
      <c r="T38" s="8"/>
      <c r="U38" s="8" t="s">
        <v>40</v>
      </c>
      <c r="V38" s="8" t="s">
        <v>244</v>
      </c>
      <c r="W38" s="8" t="s">
        <v>245</v>
      </c>
      <c r="X38" s="8" t="s">
        <v>246</v>
      </c>
      <c r="Y38" s="8" t="s">
        <v>247</v>
      </c>
      <c r="Z38" s="8" t="s">
        <v>45</v>
      </c>
    </row>
    <row r="39" spans="1:26" ht="49.2" x14ac:dyDescent="0.3">
      <c r="A39" s="8" t="s">
        <v>27</v>
      </c>
      <c r="B39" s="8" t="s">
        <v>83</v>
      </c>
      <c r="C39" s="8" t="s">
        <v>29</v>
      </c>
      <c r="D39" s="8" t="s">
        <v>140</v>
      </c>
      <c r="E39" s="8" t="s">
        <v>85</v>
      </c>
      <c r="F39" s="8" t="s">
        <v>85</v>
      </c>
      <c r="G39" s="8">
        <v>2017</v>
      </c>
      <c r="H39" s="8" t="str">
        <f>CONCATENATE("34270426926")</f>
        <v>34270426926</v>
      </c>
      <c r="I39" s="8" t="s">
        <v>48</v>
      </c>
      <c r="J39" s="8" t="s">
        <v>34</v>
      </c>
      <c r="K39" s="8" t="str">
        <f t="shared" si="0"/>
        <v/>
      </c>
      <c r="L39" s="8" t="str">
        <f>CONCATENATE("4 4.1 2a")</f>
        <v>4 4.1 2a</v>
      </c>
      <c r="M39" s="8" t="str">
        <f>CONCATENATE("LRGNTN59B23E785T")</f>
        <v>LRGNTN59B23E785T</v>
      </c>
      <c r="N39" s="8" t="s">
        <v>248</v>
      </c>
      <c r="O39" s="8" t="s">
        <v>243</v>
      </c>
      <c r="P39" s="9">
        <v>45370</v>
      </c>
      <c r="Q39" s="8" t="s">
        <v>37</v>
      </c>
      <c r="R39" s="8" t="s">
        <v>249</v>
      </c>
      <c r="S39" s="8" t="s">
        <v>39</v>
      </c>
      <c r="T39" s="8"/>
      <c r="U39" s="8" t="s">
        <v>40</v>
      </c>
      <c r="V39" s="8" t="s">
        <v>250</v>
      </c>
      <c r="W39" s="8" t="s">
        <v>251</v>
      </c>
      <c r="X39" s="8" t="s">
        <v>252</v>
      </c>
      <c r="Y39" s="8" t="s">
        <v>253</v>
      </c>
      <c r="Z39" s="8" t="s">
        <v>45</v>
      </c>
    </row>
    <row r="40" spans="1:26" ht="30" x14ac:dyDescent="0.3">
      <c r="A40" s="8" t="s">
        <v>27</v>
      </c>
      <c r="B40" s="8" t="s">
        <v>83</v>
      </c>
      <c r="C40" s="8" t="s">
        <v>29</v>
      </c>
      <c r="D40" s="8" t="s">
        <v>30</v>
      </c>
      <c r="E40" s="8" t="s">
        <v>85</v>
      </c>
      <c r="F40" s="8" t="s">
        <v>85</v>
      </c>
      <c r="G40" s="8">
        <v>2017</v>
      </c>
      <c r="H40" s="8" t="str">
        <f>CONCATENATE("34270426900")</f>
        <v>34270426900</v>
      </c>
      <c r="I40" s="8" t="s">
        <v>48</v>
      </c>
      <c r="J40" s="8" t="s">
        <v>34</v>
      </c>
      <c r="K40" s="8" t="str">
        <f t="shared" si="0"/>
        <v/>
      </c>
      <c r="L40" s="8" t="str">
        <f>CONCATENATE("4 4.1 2a")</f>
        <v>4 4.1 2a</v>
      </c>
      <c r="M40" s="8" t="str">
        <f>CONCATENATE("01985780434")</f>
        <v>01985780434</v>
      </c>
      <c r="N40" s="8" t="s">
        <v>254</v>
      </c>
      <c r="O40" s="8" t="s">
        <v>243</v>
      </c>
      <c r="P40" s="9">
        <v>45370</v>
      </c>
      <c r="Q40" s="8" t="s">
        <v>37</v>
      </c>
      <c r="R40" s="8" t="s">
        <v>249</v>
      </c>
      <c r="S40" s="8" t="s">
        <v>39</v>
      </c>
      <c r="T40" s="8"/>
      <c r="U40" s="8" t="s">
        <v>40</v>
      </c>
      <c r="V40" s="8" t="s">
        <v>255</v>
      </c>
      <c r="W40" s="8" t="s">
        <v>256</v>
      </c>
      <c r="X40" s="8" t="s">
        <v>257</v>
      </c>
      <c r="Y40" s="8" t="s">
        <v>258</v>
      </c>
      <c r="Z40" s="8" t="s">
        <v>45</v>
      </c>
    </row>
    <row r="41" spans="1:26" ht="30" x14ac:dyDescent="0.3">
      <c r="A41" s="8" t="s">
        <v>27</v>
      </c>
      <c r="B41" s="8" t="s">
        <v>28</v>
      </c>
      <c r="C41" s="8" t="s">
        <v>29</v>
      </c>
      <c r="D41" s="8" t="s">
        <v>140</v>
      </c>
      <c r="E41" s="8" t="s">
        <v>97</v>
      </c>
      <c r="F41" s="8" t="s">
        <v>259</v>
      </c>
      <c r="G41" s="8">
        <v>2023</v>
      </c>
      <c r="H41" s="8" t="str">
        <f>CONCATENATE("34210075296")</f>
        <v>34210075296</v>
      </c>
      <c r="I41" s="8" t="s">
        <v>48</v>
      </c>
      <c r="J41" s="8" t="s">
        <v>34</v>
      </c>
      <c r="K41" s="8" t="str">
        <f t="shared" si="0"/>
        <v/>
      </c>
      <c r="L41" s="8" t="str">
        <f t="shared" ref="L41:L46" si="1">CONCATENATE("13 13.1 4a")</f>
        <v>13 13.1 4a</v>
      </c>
      <c r="M41" s="8" t="str">
        <f>CONCATENATE("01388170415")</f>
        <v>01388170415</v>
      </c>
      <c r="N41" s="8" t="s">
        <v>260</v>
      </c>
      <c r="O41" s="8" t="s">
        <v>261</v>
      </c>
      <c r="P41" s="9">
        <v>45371</v>
      </c>
      <c r="Q41" s="8" t="s">
        <v>37</v>
      </c>
      <c r="R41" s="8" t="s">
        <v>38</v>
      </c>
      <c r="S41" s="8" t="s">
        <v>39</v>
      </c>
      <c r="T41" s="8"/>
      <c r="U41" s="8" t="s">
        <v>40</v>
      </c>
      <c r="V41" s="8" t="s">
        <v>262</v>
      </c>
      <c r="W41" s="8" t="s">
        <v>263</v>
      </c>
      <c r="X41" s="8" t="s">
        <v>264</v>
      </c>
      <c r="Y41" s="8" t="s">
        <v>265</v>
      </c>
      <c r="Z41" s="8" t="s">
        <v>45</v>
      </c>
    </row>
    <row r="42" spans="1:26" ht="30" x14ac:dyDescent="0.3">
      <c r="A42" s="8" t="s">
        <v>27</v>
      </c>
      <c r="B42" s="8" t="s">
        <v>28</v>
      </c>
      <c r="C42" s="8" t="s">
        <v>29</v>
      </c>
      <c r="D42" s="8" t="s">
        <v>30</v>
      </c>
      <c r="E42" s="8" t="s">
        <v>76</v>
      </c>
      <c r="F42" s="8" t="s">
        <v>266</v>
      </c>
      <c r="G42" s="8">
        <v>2023</v>
      </c>
      <c r="H42" s="8" t="str">
        <f>CONCATENATE("34210050802")</f>
        <v>34210050802</v>
      </c>
      <c r="I42" s="8" t="s">
        <v>48</v>
      </c>
      <c r="J42" s="8" t="s">
        <v>34</v>
      </c>
      <c r="K42" s="8" t="str">
        <f t="shared" si="0"/>
        <v/>
      </c>
      <c r="L42" s="8" t="str">
        <f t="shared" si="1"/>
        <v>13 13.1 4a</v>
      </c>
      <c r="M42" s="8" t="str">
        <f>CONCATENATE("00972350433")</f>
        <v>00972350433</v>
      </c>
      <c r="N42" s="8" t="s">
        <v>267</v>
      </c>
      <c r="O42" s="8" t="s">
        <v>261</v>
      </c>
      <c r="P42" s="9">
        <v>45371</v>
      </c>
      <c r="Q42" s="8" t="s">
        <v>37</v>
      </c>
      <c r="R42" s="8" t="s">
        <v>38</v>
      </c>
      <c r="S42" s="8" t="s">
        <v>39</v>
      </c>
      <c r="T42" s="8"/>
      <c r="U42" s="8" t="s">
        <v>40</v>
      </c>
      <c r="V42" s="8" t="s">
        <v>268</v>
      </c>
      <c r="W42" s="8" t="s">
        <v>269</v>
      </c>
      <c r="X42" s="8" t="s">
        <v>270</v>
      </c>
      <c r="Y42" s="8" t="s">
        <v>271</v>
      </c>
      <c r="Z42" s="8" t="s">
        <v>45</v>
      </c>
    </row>
    <row r="43" spans="1:26" ht="49.2" x14ac:dyDescent="0.3">
      <c r="A43" s="8" t="s">
        <v>27</v>
      </c>
      <c r="B43" s="8" t="s">
        <v>28</v>
      </c>
      <c r="C43" s="8" t="s">
        <v>29</v>
      </c>
      <c r="D43" s="8" t="s">
        <v>140</v>
      </c>
      <c r="E43" s="8" t="s">
        <v>76</v>
      </c>
      <c r="F43" s="8" t="s">
        <v>272</v>
      </c>
      <c r="G43" s="8">
        <v>2023</v>
      </c>
      <c r="H43" s="8" t="str">
        <f>CONCATENATE("34210081138")</f>
        <v>34210081138</v>
      </c>
      <c r="I43" s="8" t="s">
        <v>48</v>
      </c>
      <c r="J43" s="8" t="s">
        <v>34</v>
      </c>
      <c r="K43" s="8" t="str">
        <f t="shared" si="0"/>
        <v/>
      </c>
      <c r="L43" s="8" t="str">
        <f t="shared" si="1"/>
        <v>13 13.1 4a</v>
      </c>
      <c r="M43" s="8" t="str">
        <f>CONCATENATE("DNGGLL56S57F478T")</f>
        <v>DNGGLL56S57F478T</v>
      </c>
      <c r="N43" s="8" t="s">
        <v>273</v>
      </c>
      <c r="O43" s="8" t="s">
        <v>261</v>
      </c>
      <c r="P43" s="9">
        <v>45371</v>
      </c>
      <c r="Q43" s="8" t="s">
        <v>37</v>
      </c>
      <c r="R43" s="8" t="s">
        <v>38</v>
      </c>
      <c r="S43" s="8" t="s">
        <v>39</v>
      </c>
      <c r="T43" s="8"/>
      <c r="U43" s="8" t="s">
        <v>40</v>
      </c>
      <c r="V43" s="8" t="s">
        <v>274</v>
      </c>
      <c r="W43" s="8" t="s">
        <v>275</v>
      </c>
      <c r="X43" s="8" t="s">
        <v>276</v>
      </c>
      <c r="Y43" s="8" t="s">
        <v>277</v>
      </c>
      <c r="Z43" s="8" t="s">
        <v>45</v>
      </c>
    </row>
    <row r="44" spans="1:26" ht="49.2" x14ac:dyDescent="0.3">
      <c r="A44" s="8" t="s">
        <v>27</v>
      </c>
      <c r="B44" s="8" t="s">
        <v>28</v>
      </c>
      <c r="C44" s="8" t="s">
        <v>29</v>
      </c>
      <c r="D44" s="8" t="s">
        <v>84</v>
      </c>
      <c r="E44" s="8" t="s">
        <v>278</v>
      </c>
      <c r="F44" s="8" t="s">
        <v>279</v>
      </c>
      <c r="G44" s="8">
        <v>2023</v>
      </c>
      <c r="H44" s="8" t="str">
        <f>CONCATENATE("34210083324")</f>
        <v>34210083324</v>
      </c>
      <c r="I44" s="8" t="s">
        <v>48</v>
      </c>
      <c r="J44" s="8" t="s">
        <v>34</v>
      </c>
      <c r="K44" s="8" t="str">
        <f t="shared" si="0"/>
        <v/>
      </c>
      <c r="L44" s="8" t="str">
        <f t="shared" si="1"/>
        <v>13 13.1 4a</v>
      </c>
      <c r="M44" s="8" t="str">
        <f>CONCATENATE("BRNSMN70R54C935I")</f>
        <v>BRNSMN70R54C935I</v>
      </c>
      <c r="N44" s="8" t="s">
        <v>280</v>
      </c>
      <c r="O44" s="8" t="s">
        <v>261</v>
      </c>
      <c r="P44" s="9">
        <v>45371</v>
      </c>
      <c r="Q44" s="8" t="s">
        <v>37</v>
      </c>
      <c r="R44" s="8" t="s">
        <v>38</v>
      </c>
      <c r="S44" s="8" t="s">
        <v>39</v>
      </c>
      <c r="T44" s="8"/>
      <c r="U44" s="8" t="s">
        <v>40</v>
      </c>
      <c r="V44" s="8" t="s">
        <v>281</v>
      </c>
      <c r="W44" s="8" t="s">
        <v>282</v>
      </c>
      <c r="X44" s="8" t="s">
        <v>283</v>
      </c>
      <c r="Y44" s="8" t="s">
        <v>284</v>
      </c>
      <c r="Z44" s="8" t="s">
        <v>45</v>
      </c>
    </row>
    <row r="45" spans="1:26" ht="49.2" x14ac:dyDescent="0.3">
      <c r="A45" s="8" t="s">
        <v>27</v>
      </c>
      <c r="B45" s="8" t="s">
        <v>28</v>
      </c>
      <c r="C45" s="8" t="s">
        <v>29</v>
      </c>
      <c r="D45" s="8" t="s">
        <v>140</v>
      </c>
      <c r="E45" s="8" t="s">
        <v>76</v>
      </c>
      <c r="F45" s="8" t="s">
        <v>141</v>
      </c>
      <c r="G45" s="8">
        <v>2023</v>
      </c>
      <c r="H45" s="8" t="str">
        <f>CONCATENATE("34210059738")</f>
        <v>34210059738</v>
      </c>
      <c r="I45" s="8" t="s">
        <v>48</v>
      </c>
      <c r="J45" s="8" t="s">
        <v>34</v>
      </c>
      <c r="K45" s="8" t="str">
        <f t="shared" si="0"/>
        <v/>
      </c>
      <c r="L45" s="8" t="str">
        <f t="shared" si="1"/>
        <v>13 13.1 4a</v>
      </c>
      <c r="M45" s="8" t="str">
        <f>CONCATENATE("BRTVDO57S10D791G")</f>
        <v>BRTVDO57S10D791G</v>
      </c>
      <c r="N45" s="8" t="s">
        <v>142</v>
      </c>
      <c r="O45" s="8" t="s">
        <v>261</v>
      </c>
      <c r="P45" s="9">
        <v>45371</v>
      </c>
      <c r="Q45" s="8" t="s">
        <v>37</v>
      </c>
      <c r="R45" s="8" t="s">
        <v>38</v>
      </c>
      <c r="S45" s="8" t="s">
        <v>39</v>
      </c>
      <c r="T45" s="8"/>
      <c r="U45" s="8" t="s">
        <v>40</v>
      </c>
      <c r="V45" s="8" t="s">
        <v>285</v>
      </c>
      <c r="W45" s="8" t="s">
        <v>286</v>
      </c>
      <c r="X45" s="8" t="s">
        <v>287</v>
      </c>
      <c r="Y45" s="8" t="s">
        <v>288</v>
      </c>
      <c r="Z45" s="8" t="s">
        <v>45</v>
      </c>
    </row>
    <row r="46" spans="1:26" ht="30" x14ac:dyDescent="0.3">
      <c r="A46" s="8" t="s">
        <v>27</v>
      </c>
      <c r="B46" s="8" t="s">
        <v>28</v>
      </c>
      <c r="C46" s="8" t="s">
        <v>29</v>
      </c>
      <c r="D46" s="8" t="s">
        <v>140</v>
      </c>
      <c r="E46" s="8" t="s">
        <v>31</v>
      </c>
      <c r="F46" s="8" t="s">
        <v>289</v>
      </c>
      <c r="G46" s="8">
        <v>2023</v>
      </c>
      <c r="H46" s="8" t="str">
        <f>CONCATENATE("34210088208")</f>
        <v>34210088208</v>
      </c>
      <c r="I46" s="8" t="s">
        <v>48</v>
      </c>
      <c r="J46" s="8" t="s">
        <v>34</v>
      </c>
      <c r="K46" s="8" t="str">
        <f t="shared" si="0"/>
        <v/>
      </c>
      <c r="L46" s="8" t="str">
        <f t="shared" si="1"/>
        <v>13 13.1 4a</v>
      </c>
      <c r="M46" s="8" t="str">
        <f>CONCATENATE("02528080415")</f>
        <v>02528080415</v>
      </c>
      <c r="N46" s="8" t="s">
        <v>290</v>
      </c>
      <c r="O46" s="8" t="s">
        <v>261</v>
      </c>
      <c r="P46" s="9">
        <v>45371</v>
      </c>
      <c r="Q46" s="8" t="s">
        <v>37</v>
      </c>
      <c r="R46" s="8" t="s">
        <v>38</v>
      </c>
      <c r="S46" s="8" t="s">
        <v>39</v>
      </c>
      <c r="T46" s="8"/>
      <c r="U46" s="8" t="s">
        <v>40</v>
      </c>
      <c r="V46" s="8" t="s">
        <v>291</v>
      </c>
      <c r="W46" s="8" t="s">
        <v>292</v>
      </c>
      <c r="X46" s="8" t="s">
        <v>293</v>
      </c>
      <c r="Y46" s="8" t="s">
        <v>294</v>
      </c>
      <c r="Z46" s="8" t="s">
        <v>45</v>
      </c>
    </row>
    <row r="47" spans="1:26" ht="49.2" x14ac:dyDescent="0.3">
      <c r="A47" s="8" t="s">
        <v>27</v>
      </c>
      <c r="B47" s="8" t="s">
        <v>28</v>
      </c>
      <c r="C47" s="8" t="s">
        <v>29</v>
      </c>
      <c r="D47" s="8" t="s">
        <v>84</v>
      </c>
      <c r="E47" s="8" t="s">
        <v>278</v>
      </c>
      <c r="F47" s="8" t="s">
        <v>279</v>
      </c>
      <c r="G47" s="8">
        <v>2023</v>
      </c>
      <c r="H47" s="8" t="str">
        <f>CONCATENATE("34240420694")</f>
        <v>34240420694</v>
      </c>
      <c r="I47" s="8" t="s">
        <v>48</v>
      </c>
      <c r="J47" s="8" t="s">
        <v>34</v>
      </c>
      <c r="K47" s="8" t="str">
        <f t="shared" si="0"/>
        <v/>
      </c>
      <c r="L47" s="8" t="str">
        <f>CONCATENATE("11 11.2 4b")</f>
        <v>11 11.2 4b</v>
      </c>
      <c r="M47" s="8" t="str">
        <f>CONCATENATE("BRNSMN70R54C935I")</f>
        <v>BRNSMN70R54C935I</v>
      </c>
      <c r="N47" s="8" t="s">
        <v>280</v>
      </c>
      <c r="O47" s="8" t="s">
        <v>295</v>
      </c>
      <c r="P47" s="9">
        <v>45371</v>
      </c>
      <c r="Q47" s="8" t="s">
        <v>37</v>
      </c>
      <c r="R47" s="8" t="s">
        <v>38</v>
      </c>
      <c r="S47" s="8" t="s">
        <v>39</v>
      </c>
      <c r="T47" s="8"/>
      <c r="U47" s="8" t="s">
        <v>40</v>
      </c>
      <c r="V47" s="8" t="s">
        <v>296</v>
      </c>
      <c r="W47" s="8" t="s">
        <v>297</v>
      </c>
      <c r="X47" s="8" t="s">
        <v>298</v>
      </c>
      <c r="Y47" s="8" t="s">
        <v>299</v>
      </c>
      <c r="Z47" s="8" t="s">
        <v>45</v>
      </c>
    </row>
    <row r="48" spans="1:26" ht="30" x14ac:dyDescent="0.3">
      <c r="A48" s="8" t="s">
        <v>27</v>
      </c>
      <c r="B48" s="8" t="s">
        <v>28</v>
      </c>
      <c r="C48" s="8" t="s">
        <v>29</v>
      </c>
      <c r="D48" s="8" t="s">
        <v>206</v>
      </c>
      <c r="E48" s="8" t="s">
        <v>76</v>
      </c>
      <c r="F48" s="8" t="s">
        <v>77</v>
      </c>
      <c r="G48" s="8">
        <v>2021</v>
      </c>
      <c r="H48" s="8" t="str">
        <f>CONCATENATE("14240914961")</f>
        <v>14240914961</v>
      </c>
      <c r="I48" s="8" t="s">
        <v>48</v>
      </c>
      <c r="J48" s="8" t="s">
        <v>34</v>
      </c>
      <c r="K48" s="8" t="str">
        <f t="shared" si="0"/>
        <v/>
      </c>
      <c r="L48" s="8" t="str">
        <f>CONCATENATE("11 11.2 4b")</f>
        <v>11 11.2 4b</v>
      </c>
      <c r="M48" s="8" t="str">
        <f>CONCATENATE("02018110425")</f>
        <v>02018110425</v>
      </c>
      <c r="N48" s="8" t="s">
        <v>300</v>
      </c>
      <c r="O48" s="8" t="s">
        <v>295</v>
      </c>
      <c r="P48" s="9">
        <v>45371</v>
      </c>
      <c r="Q48" s="8" t="s">
        <v>37</v>
      </c>
      <c r="R48" s="8" t="s">
        <v>38</v>
      </c>
      <c r="S48" s="8" t="s">
        <v>39</v>
      </c>
      <c r="T48" s="8"/>
      <c r="U48" s="8" t="s">
        <v>40</v>
      </c>
      <c r="V48" s="8" t="s">
        <v>301</v>
      </c>
      <c r="W48" s="8" t="s">
        <v>302</v>
      </c>
      <c r="X48" s="8" t="s">
        <v>303</v>
      </c>
      <c r="Y48" s="8" t="s">
        <v>304</v>
      </c>
      <c r="Z48" s="8" t="s">
        <v>45</v>
      </c>
    </row>
    <row r="49" spans="1:26" ht="49.2" x14ac:dyDescent="0.3">
      <c r="A49" s="8" t="s">
        <v>27</v>
      </c>
      <c r="B49" s="8" t="s">
        <v>83</v>
      </c>
      <c r="C49" s="8" t="s">
        <v>29</v>
      </c>
      <c r="D49" s="8" t="s">
        <v>30</v>
      </c>
      <c r="E49" s="8" t="s">
        <v>31</v>
      </c>
      <c r="F49" s="8" t="s">
        <v>123</v>
      </c>
      <c r="G49" s="8">
        <v>2017</v>
      </c>
      <c r="H49" s="8" t="str">
        <f>CONCATENATE("44270043704")</f>
        <v>44270043704</v>
      </c>
      <c r="I49" s="8" t="s">
        <v>48</v>
      </c>
      <c r="J49" s="8" t="s">
        <v>34</v>
      </c>
      <c r="K49" s="8" t="str">
        <f t="shared" si="0"/>
        <v/>
      </c>
      <c r="L49" s="8" t="str">
        <f>CONCATENATE("4 4.1 2a")</f>
        <v>4 4.1 2a</v>
      </c>
      <c r="M49" s="8" t="str">
        <f>CONCATENATE("TZZTNN59D29D429T")</f>
        <v>TZZTNN59D29D429T</v>
      </c>
      <c r="N49" s="8" t="s">
        <v>305</v>
      </c>
      <c r="O49" s="8" t="s">
        <v>226</v>
      </c>
      <c r="P49" s="9">
        <v>45370</v>
      </c>
      <c r="Q49" s="8" t="s">
        <v>37</v>
      </c>
      <c r="R49" s="8" t="s">
        <v>38</v>
      </c>
      <c r="S49" s="8" t="s">
        <v>39</v>
      </c>
      <c r="T49" s="8"/>
      <c r="U49" s="8" t="s">
        <v>40</v>
      </c>
      <c r="V49" s="8" t="s">
        <v>306</v>
      </c>
      <c r="W49" s="8" t="s">
        <v>307</v>
      </c>
      <c r="X49" s="8" t="s">
        <v>308</v>
      </c>
      <c r="Y49" s="8" t="s">
        <v>309</v>
      </c>
      <c r="Z49" s="8" t="s">
        <v>45</v>
      </c>
    </row>
    <row r="50" spans="1:26" ht="30" x14ac:dyDescent="0.3">
      <c r="A50" s="8" t="s">
        <v>27</v>
      </c>
      <c r="B50" s="8" t="s">
        <v>83</v>
      </c>
      <c r="C50" s="8" t="s">
        <v>29</v>
      </c>
      <c r="D50" s="8" t="s">
        <v>84</v>
      </c>
      <c r="E50" s="8" t="s">
        <v>85</v>
      </c>
      <c r="F50" s="8" t="s">
        <v>85</v>
      </c>
      <c r="G50" s="8">
        <v>2017</v>
      </c>
      <c r="H50" s="8" t="str">
        <f>CONCATENATE("44270041492")</f>
        <v>44270041492</v>
      </c>
      <c r="I50" s="8" t="s">
        <v>48</v>
      </c>
      <c r="J50" s="8" t="s">
        <v>34</v>
      </c>
      <c r="K50" s="8" t="str">
        <f t="shared" si="0"/>
        <v/>
      </c>
      <c r="L50" s="8" t="str">
        <f>CONCATENATE("4 4.1 2a")</f>
        <v>4 4.1 2a</v>
      </c>
      <c r="M50" s="8" t="str">
        <f>CONCATENATE("02387790443")</f>
        <v>02387790443</v>
      </c>
      <c r="N50" s="8" t="s">
        <v>310</v>
      </c>
      <c r="O50" s="8" t="s">
        <v>311</v>
      </c>
      <c r="P50" s="9">
        <v>45370</v>
      </c>
      <c r="Q50" s="8" t="s">
        <v>37</v>
      </c>
      <c r="R50" s="8" t="s">
        <v>312</v>
      </c>
      <c r="S50" s="8" t="s">
        <v>39</v>
      </c>
      <c r="T50" s="8"/>
      <c r="U50" s="8" t="s">
        <v>40</v>
      </c>
      <c r="V50" s="8" t="s">
        <v>313</v>
      </c>
      <c r="W50" s="8" t="s">
        <v>314</v>
      </c>
      <c r="X50" s="8" t="s">
        <v>315</v>
      </c>
      <c r="Y50" s="8" t="s">
        <v>316</v>
      </c>
      <c r="Z50" s="8" t="s">
        <v>45</v>
      </c>
    </row>
    <row r="51" spans="1:26" ht="49.2" x14ac:dyDescent="0.3">
      <c r="A51" s="8" t="s">
        <v>27</v>
      </c>
      <c r="B51" s="8" t="s">
        <v>83</v>
      </c>
      <c r="C51" s="8" t="s">
        <v>29</v>
      </c>
      <c r="D51" s="8" t="s">
        <v>84</v>
      </c>
      <c r="E51" s="8" t="s">
        <v>317</v>
      </c>
      <c r="F51" s="8" t="s">
        <v>318</v>
      </c>
      <c r="G51" s="8">
        <v>2017</v>
      </c>
      <c r="H51" s="8" t="str">
        <f>CONCATENATE("44270041443")</f>
        <v>44270041443</v>
      </c>
      <c r="I51" s="8" t="s">
        <v>48</v>
      </c>
      <c r="J51" s="8" t="s">
        <v>34</v>
      </c>
      <c r="K51" s="8" t="str">
        <f t="shared" si="0"/>
        <v/>
      </c>
      <c r="L51" s="8" t="str">
        <f>CONCATENATE("4 4.1 2a")</f>
        <v>4 4.1 2a</v>
      </c>
      <c r="M51" s="8" t="str">
        <f>CONCATENATE("PLCFNC75S46A271H")</f>
        <v>PLCFNC75S46A271H</v>
      </c>
      <c r="N51" s="8" t="s">
        <v>319</v>
      </c>
      <c r="O51" s="8" t="s">
        <v>243</v>
      </c>
      <c r="P51" s="9">
        <v>45370</v>
      </c>
      <c r="Q51" s="8" t="s">
        <v>37</v>
      </c>
      <c r="R51" s="8" t="s">
        <v>38</v>
      </c>
      <c r="S51" s="8" t="s">
        <v>39</v>
      </c>
      <c r="T51" s="8"/>
      <c r="U51" s="8" t="s">
        <v>40</v>
      </c>
      <c r="V51" s="8" t="s">
        <v>320</v>
      </c>
      <c r="W51" s="8" t="s">
        <v>321</v>
      </c>
      <c r="X51" s="8" t="s">
        <v>322</v>
      </c>
      <c r="Y51" s="8" t="s">
        <v>323</v>
      </c>
      <c r="Z51" s="8" t="s">
        <v>45</v>
      </c>
    </row>
    <row r="52" spans="1:26" ht="49.2" x14ac:dyDescent="0.3">
      <c r="A52" s="8" t="s">
        <v>27</v>
      </c>
      <c r="B52" s="8" t="s">
        <v>28</v>
      </c>
      <c r="C52" s="8" t="s">
        <v>29</v>
      </c>
      <c r="D52" s="8" t="s">
        <v>206</v>
      </c>
      <c r="E52" s="8" t="s">
        <v>278</v>
      </c>
      <c r="F52" s="8" t="s">
        <v>324</v>
      </c>
      <c r="G52" s="8">
        <v>2023</v>
      </c>
      <c r="H52" s="8" t="str">
        <f>CONCATENATE("34210005004")</f>
        <v>34210005004</v>
      </c>
      <c r="I52" s="8" t="s">
        <v>48</v>
      </c>
      <c r="J52" s="8" t="s">
        <v>34</v>
      </c>
      <c r="K52" s="8" t="str">
        <f t="shared" si="0"/>
        <v/>
      </c>
      <c r="L52" s="8" t="str">
        <f t="shared" ref="L52:L57" si="2">CONCATENATE("13 13.1 4a")</f>
        <v>13 13.1 4a</v>
      </c>
      <c r="M52" s="8" t="str">
        <f>CONCATENATE("RSSPRM59R06I932Z")</f>
        <v>RSSPRM59R06I932Z</v>
      </c>
      <c r="N52" s="8" t="s">
        <v>325</v>
      </c>
      <c r="O52" s="8" t="s">
        <v>261</v>
      </c>
      <c r="P52" s="9">
        <v>45371</v>
      </c>
      <c r="Q52" s="8" t="s">
        <v>37</v>
      </c>
      <c r="R52" s="8" t="s">
        <v>38</v>
      </c>
      <c r="S52" s="8" t="s">
        <v>39</v>
      </c>
      <c r="T52" s="8"/>
      <c r="U52" s="8" t="s">
        <v>40</v>
      </c>
      <c r="V52" s="8" t="s">
        <v>326</v>
      </c>
      <c r="W52" s="8" t="s">
        <v>327</v>
      </c>
      <c r="X52" s="8" t="s">
        <v>328</v>
      </c>
      <c r="Y52" s="8" t="s">
        <v>329</v>
      </c>
      <c r="Z52" s="8" t="s">
        <v>45</v>
      </c>
    </row>
    <row r="53" spans="1:26" ht="30" x14ac:dyDescent="0.3">
      <c r="A53" s="8" t="s">
        <v>27</v>
      </c>
      <c r="B53" s="8" t="s">
        <v>28</v>
      </c>
      <c r="C53" s="8" t="s">
        <v>29</v>
      </c>
      <c r="D53" s="8" t="s">
        <v>140</v>
      </c>
      <c r="E53" s="8" t="s">
        <v>31</v>
      </c>
      <c r="F53" s="8" t="s">
        <v>330</v>
      </c>
      <c r="G53" s="8">
        <v>2016</v>
      </c>
      <c r="H53" s="8" t="str">
        <f>CONCATENATE("64211150392")</f>
        <v>64211150392</v>
      </c>
      <c r="I53" s="8" t="s">
        <v>48</v>
      </c>
      <c r="J53" s="8" t="s">
        <v>34</v>
      </c>
      <c r="K53" s="8" t="str">
        <f t="shared" si="0"/>
        <v/>
      </c>
      <c r="L53" s="8" t="str">
        <f t="shared" si="2"/>
        <v>13 13.1 4a</v>
      </c>
      <c r="M53" s="8" t="str">
        <f>CONCATENATE("02599280415")</f>
        <v>02599280415</v>
      </c>
      <c r="N53" s="8" t="s">
        <v>331</v>
      </c>
      <c r="O53" s="8" t="s">
        <v>261</v>
      </c>
      <c r="P53" s="9">
        <v>45371</v>
      </c>
      <c r="Q53" s="8" t="s">
        <v>37</v>
      </c>
      <c r="R53" s="8" t="s">
        <v>38</v>
      </c>
      <c r="S53" s="8" t="s">
        <v>39</v>
      </c>
      <c r="T53" s="8"/>
      <c r="U53" s="8" t="s">
        <v>40</v>
      </c>
      <c r="V53" s="8" t="s">
        <v>332</v>
      </c>
      <c r="W53" s="8" t="s">
        <v>333</v>
      </c>
      <c r="X53" s="8" t="s">
        <v>334</v>
      </c>
      <c r="Y53" s="8" t="s">
        <v>335</v>
      </c>
      <c r="Z53" s="8" t="s">
        <v>45</v>
      </c>
    </row>
    <row r="54" spans="1:26" ht="49.2" x14ac:dyDescent="0.3">
      <c r="A54" s="8" t="s">
        <v>27</v>
      </c>
      <c r="B54" s="8" t="s">
        <v>28</v>
      </c>
      <c r="C54" s="8" t="s">
        <v>29</v>
      </c>
      <c r="D54" s="8" t="s">
        <v>140</v>
      </c>
      <c r="E54" s="8" t="s">
        <v>31</v>
      </c>
      <c r="F54" s="8" t="s">
        <v>336</v>
      </c>
      <c r="G54" s="8">
        <v>2023</v>
      </c>
      <c r="H54" s="8" t="str">
        <f>CONCATENATE("34210108105")</f>
        <v>34210108105</v>
      </c>
      <c r="I54" s="8" t="s">
        <v>48</v>
      </c>
      <c r="J54" s="8" t="s">
        <v>34</v>
      </c>
      <c r="K54" s="8" t="str">
        <f t="shared" si="0"/>
        <v/>
      </c>
      <c r="L54" s="8" t="str">
        <f t="shared" si="2"/>
        <v>13 13.1 4a</v>
      </c>
      <c r="M54" s="8" t="str">
        <f>CONCATENATE("FRRMRA64B54E743T")</f>
        <v>FRRMRA64B54E743T</v>
      </c>
      <c r="N54" s="8" t="s">
        <v>337</v>
      </c>
      <c r="O54" s="8" t="s">
        <v>261</v>
      </c>
      <c r="P54" s="9">
        <v>45371</v>
      </c>
      <c r="Q54" s="8" t="s">
        <v>37</v>
      </c>
      <c r="R54" s="8" t="s">
        <v>38</v>
      </c>
      <c r="S54" s="8" t="s">
        <v>39</v>
      </c>
      <c r="T54" s="8"/>
      <c r="U54" s="8" t="s">
        <v>40</v>
      </c>
      <c r="V54" s="8" t="s">
        <v>338</v>
      </c>
      <c r="W54" s="8" t="s">
        <v>339</v>
      </c>
      <c r="X54" s="8" t="s">
        <v>340</v>
      </c>
      <c r="Y54" s="8" t="s">
        <v>341</v>
      </c>
      <c r="Z54" s="8" t="s">
        <v>45</v>
      </c>
    </row>
    <row r="55" spans="1:26" ht="58.8" x14ac:dyDescent="0.3">
      <c r="A55" s="8" t="s">
        <v>27</v>
      </c>
      <c r="B55" s="8" t="s">
        <v>28</v>
      </c>
      <c r="C55" s="8" t="s">
        <v>29</v>
      </c>
      <c r="D55" s="8" t="s">
        <v>140</v>
      </c>
      <c r="E55" s="8" t="s">
        <v>342</v>
      </c>
      <c r="F55" s="8" t="s">
        <v>343</v>
      </c>
      <c r="G55" s="8">
        <v>2023</v>
      </c>
      <c r="H55" s="8" t="str">
        <f>CONCATENATE("34210339999")</f>
        <v>34210339999</v>
      </c>
      <c r="I55" s="8" t="s">
        <v>48</v>
      </c>
      <c r="J55" s="8" t="s">
        <v>34</v>
      </c>
      <c r="K55" s="8" t="str">
        <f t="shared" si="0"/>
        <v/>
      </c>
      <c r="L55" s="8" t="str">
        <f t="shared" si="2"/>
        <v>13 13.1 4a</v>
      </c>
      <c r="M55" s="8" t="str">
        <f>CONCATENATE("RGNMRN42D05H949V")</f>
        <v>RGNMRN42D05H949V</v>
      </c>
      <c r="N55" s="8" t="s">
        <v>344</v>
      </c>
      <c r="O55" s="8" t="s">
        <v>261</v>
      </c>
      <c r="P55" s="9">
        <v>45371</v>
      </c>
      <c r="Q55" s="8" t="s">
        <v>37</v>
      </c>
      <c r="R55" s="8" t="s">
        <v>38</v>
      </c>
      <c r="S55" s="8" t="s">
        <v>39</v>
      </c>
      <c r="T55" s="8"/>
      <c r="U55" s="8" t="s">
        <v>40</v>
      </c>
      <c r="V55" s="8" t="s">
        <v>345</v>
      </c>
      <c r="W55" s="8" t="s">
        <v>346</v>
      </c>
      <c r="X55" s="8" t="s">
        <v>347</v>
      </c>
      <c r="Y55" s="8" t="s">
        <v>348</v>
      </c>
      <c r="Z55" s="8" t="s">
        <v>45</v>
      </c>
    </row>
    <row r="56" spans="1:26" ht="58.8" x14ac:dyDescent="0.3">
      <c r="A56" s="8" t="s">
        <v>27</v>
      </c>
      <c r="B56" s="8" t="s">
        <v>28</v>
      </c>
      <c r="C56" s="8" t="s">
        <v>29</v>
      </c>
      <c r="D56" s="8" t="s">
        <v>140</v>
      </c>
      <c r="E56" s="8" t="s">
        <v>76</v>
      </c>
      <c r="F56" s="8" t="s">
        <v>272</v>
      </c>
      <c r="G56" s="8">
        <v>2023</v>
      </c>
      <c r="H56" s="8" t="str">
        <f>CONCATENATE("34210081278")</f>
        <v>34210081278</v>
      </c>
      <c r="I56" s="8" t="s">
        <v>48</v>
      </c>
      <c r="J56" s="8" t="s">
        <v>34</v>
      </c>
      <c r="K56" s="8" t="str">
        <f t="shared" si="0"/>
        <v/>
      </c>
      <c r="L56" s="8" t="str">
        <f t="shared" si="2"/>
        <v>13 13.1 4a</v>
      </c>
      <c r="M56" s="8" t="str">
        <f>CONCATENATE("MRAGMR00S04L500U")</f>
        <v>MRAGMR00S04L500U</v>
      </c>
      <c r="N56" s="8" t="s">
        <v>349</v>
      </c>
      <c r="O56" s="8" t="s">
        <v>261</v>
      </c>
      <c r="P56" s="9">
        <v>45371</v>
      </c>
      <c r="Q56" s="8" t="s">
        <v>37</v>
      </c>
      <c r="R56" s="8" t="s">
        <v>38</v>
      </c>
      <c r="S56" s="8" t="s">
        <v>39</v>
      </c>
      <c r="T56" s="8"/>
      <c r="U56" s="8" t="s">
        <v>40</v>
      </c>
      <c r="V56" s="8" t="s">
        <v>350</v>
      </c>
      <c r="W56" s="8" t="s">
        <v>351</v>
      </c>
      <c r="X56" s="8" t="s">
        <v>352</v>
      </c>
      <c r="Y56" s="8" t="s">
        <v>353</v>
      </c>
      <c r="Z56" s="8" t="s">
        <v>45</v>
      </c>
    </row>
    <row r="57" spans="1:26" ht="49.2" x14ac:dyDescent="0.3">
      <c r="A57" s="8" t="s">
        <v>27</v>
      </c>
      <c r="B57" s="8" t="s">
        <v>28</v>
      </c>
      <c r="C57" s="8" t="s">
        <v>29</v>
      </c>
      <c r="D57" s="8" t="s">
        <v>206</v>
      </c>
      <c r="E57" s="8" t="s">
        <v>31</v>
      </c>
      <c r="F57" s="8" t="s">
        <v>354</v>
      </c>
      <c r="G57" s="8">
        <v>2023</v>
      </c>
      <c r="H57" s="8" t="str">
        <f>CONCATENATE("34210088281")</f>
        <v>34210088281</v>
      </c>
      <c r="I57" s="8" t="s">
        <v>48</v>
      </c>
      <c r="J57" s="8" t="s">
        <v>34</v>
      </c>
      <c r="K57" s="8" t="str">
        <f t="shared" si="0"/>
        <v/>
      </c>
      <c r="L57" s="8" t="str">
        <f t="shared" si="2"/>
        <v>13 13.1 4a</v>
      </c>
      <c r="M57" s="8" t="str">
        <f>CONCATENATE("RPNMRK79T31B474M")</f>
        <v>RPNMRK79T31B474M</v>
      </c>
      <c r="N57" s="8" t="s">
        <v>355</v>
      </c>
      <c r="O57" s="8" t="s">
        <v>261</v>
      </c>
      <c r="P57" s="9">
        <v>45371</v>
      </c>
      <c r="Q57" s="8" t="s">
        <v>37</v>
      </c>
      <c r="R57" s="8" t="s">
        <v>38</v>
      </c>
      <c r="S57" s="8" t="s">
        <v>39</v>
      </c>
      <c r="T57" s="8"/>
      <c r="U57" s="8" t="s">
        <v>40</v>
      </c>
      <c r="V57" s="8" t="s">
        <v>356</v>
      </c>
      <c r="W57" s="8" t="s">
        <v>357</v>
      </c>
      <c r="X57" s="8" t="s">
        <v>358</v>
      </c>
      <c r="Y57" s="8" t="s">
        <v>359</v>
      </c>
      <c r="Z57" s="8" t="s">
        <v>45</v>
      </c>
    </row>
    <row r="58" spans="1:26" ht="49.2" x14ac:dyDescent="0.3">
      <c r="A58" s="8" t="s">
        <v>27</v>
      </c>
      <c r="B58" s="8" t="s">
        <v>28</v>
      </c>
      <c r="C58" s="8" t="s">
        <v>29</v>
      </c>
      <c r="D58" s="8" t="s">
        <v>206</v>
      </c>
      <c r="E58" s="8" t="s">
        <v>31</v>
      </c>
      <c r="F58" s="8" t="s">
        <v>354</v>
      </c>
      <c r="G58" s="8">
        <v>2023</v>
      </c>
      <c r="H58" s="8" t="str">
        <f>CONCATENATE("34240470574")</f>
        <v>34240470574</v>
      </c>
      <c r="I58" s="8" t="s">
        <v>48</v>
      </c>
      <c r="J58" s="8" t="s">
        <v>34</v>
      </c>
      <c r="K58" s="8" t="str">
        <f t="shared" si="0"/>
        <v/>
      </c>
      <c r="L58" s="8" t="str">
        <f>CONCATENATE("11 11.2 4b")</f>
        <v>11 11.2 4b</v>
      </c>
      <c r="M58" s="8" t="str">
        <f>CONCATENATE("RPNMRK79T31B474M")</f>
        <v>RPNMRK79T31B474M</v>
      </c>
      <c r="N58" s="8" t="s">
        <v>355</v>
      </c>
      <c r="O58" s="8" t="s">
        <v>295</v>
      </c>
      <c r="P58" s="9">
        <v>45371</v>
      </c>
      <c r="Q58" s="8" t="s">
        <v>37</v>
      </c>
      <c r="R58" s="8" t="s">
        <v>38</v>
      </c>
      <c r="S58" s="8" t="s">
        <v>39</v>
      </c>
      <c r="T58" s="8"/>
      <c r="U58" s="8" t="s">
        <v>40</v>
      </c>
      <c r="V58" s="8" t="s">
        <v>360</v>
      </c>
      <c r="W58" s="8" t="s">
        <v>361</v>
      </c>
      <c r="X58" s="8" t="s">
        <v>362</v>
      </c>
      <c r="Y58" s="8" t="s">
        <v>363</v>
      </c>
      <c r="Z58" s="8" t="s">
        <v>45</v>
      </c>
    </row>
    <row r="59" spans="1:26" ht="49.2" x14ac:dyDescent="0.3">
      <c r="A59" s="8" t="s">
        <v>27</v>
      </c>
      <c r="B59" s="8" t="s">
        <v>28</v>
      </c>
      <c r="C59" s="8" t="s">
        <v>29</v>
      </c>
      <c r="D59" s="8" t="s">
        <v>140</v>
      </c>
      <c r="E59" s="8" t="s">
        <v>31</v>
      </c>
      <c r="F59" s="8" t="s">
        <v>289</v>
      </c>
      <c r="G59" s="8">
        <v>2023</v>
      </c>
      <c r="H59" s="8" t="str">
        <f>CONCATENATE("34210071212")</f>
        <v>34210071212</v>
      </c>
      <c r="I59" s="8" t="s">
        <v>48</v>
      </c>
      <c r="J59" s="8" t="s">
        <v>34</v>
      </c>
      <c r="K59" s="8" t="str">
        <f t="shared" si="0"/>
        <v/>
      </c>
      <c r="L59" s="8" t="str">
        <f>CONCATENATE("13 13.1 4a")</f>
        <v>13 13.1 4a</v>
      </c>
      <c r="M59" s="8" t="str">
        <f>CONCATENATE("MSNPLA75R18G453W")</f>
        <v>MSNPLA75R18G453W</v>
      </c>
      <c r="N59" s="8" t="s">
        <v>364</v>
      </c>
      <c r="O59" s="8" t="s">
        <v>261</v>
      </c>
      <c r="P59" s="9">
        <v>45371</v>
      </c>
      <c r="Q59" s="8" t="s">
        <v>37</v>
      </c>
      <c r="R59" s="8" t="s">
        <v>38</v>
      </c>
      <c r="S59" s="8" t="s">
        <v>39</v>
      </c>
      <c r="T59" s="8"/>
      <c r="U59" s="8" t="s">
        <v>40</v>
      </c>
      <c r="V59" s="8" t="s">
        <v>365</v>
      </c>
      <c r="W59" s="8" t="s">
        <v>366</v>
      </c>
      <c r="X59" s="8" t="s">
        <v>367</v>
      </c>
      <c r="Y59" s="8" t="s">
        <v>368</v>
      </c>
      <c r="Z59" s="8" t="s">
        <v>45</v>
      </c>
    </row>
    <row r="60" spans="1:26" ht="30" x14ac:dyDescent="0.3">
      <c r="A60" s="8" t="s">
        <v>27</v>
      </c>
      <c r="B60" s="8" t="s">
        <v>28</v>
      </c>
      <c r="C60" s="8" t="s">
        <v>29</v>
      </c>
      <c r="D60" s="8" t="s">
        <v>206</v>
      </c>
      <c r="E60" s="8" t="s">
        <v>31</v>
      </c>
      <c r="F60" s="8" t="s">
        <v>354</v>
      </c>
      <c r="G60" s="8">
        <v>2023</v>
      </c>
      <c r="H60" s="8" t="str">
        <f>CONCATENATE("34210048848")</f>
        <v>34210048848</v>
      </c>
      <c r="I60" s="8" t="s">
        <v>48</v>
      </c>
      <c r="J60" s="8" t="s">
        <v>34</v>
      </c>
      <c r="K60" s="8" t="str">
        <f t="shared" si="0"/>
        <v/>
      </c>
      <c r="L60" s="8" t="str">
        <f>CONCATENATE("13 13.1 4a")</f>
        <v>13 13.1 4a</v>
      </c>
      <c r="M60" s="8" t="str">
        <f>CONCATENATE("02395070424")</f>
        <v>02395070424</v>
      </c>
      <c r="N60" s="8" t="s">
        <v>369</v>
      </c>
      <c r="O60" s="8" t="s">
        <v>261</v>
      </c>
      <c r="P60" s="9">
        <v>45371</v>
      </c>
      <c r="Q60" s="8" t="s">
        <v>37</v>
      </c>
      <c r="R60" s="8" t="s">
        <v>38</v>
      </c>
      <c r="S60" s="8" t="s">
        <v>39</v>
      </c>
      <c r="T60" s="8"/>
      <c r="U60" s="8" t="s">
        <v>40</v>
      </c>
      <c r="V60" s="8" t="s">
        <v>370</v>
      </c>
      <c r="W60" s="8" t="s">
        <v>371</v>
      </c>
      <c r="X60" s="8" t="s">
        <v>372</v>
      </c>
      <c r="Y60" s="8" t="s">
        <v>373</v>
      </c>
      <c r="Z60" s="8" t="s">
        <v>45</v>
      </c>
    </row>
    <row r="61" spans="1:26" ht="49.2" x14ac:dyDescent="0.3">
      <c r="A61" s="8" t="s">
        <v>27</v>
      </c>
      <c r="B61" s="8" t="s">
        <v>28</v>
      </c>
      <c r="C61" s="8" t="s">
        <v>29</v>
      </c>
      <c r="D61" s="8" t="s">
        <v>206</v>
      </c>
      <c r="E61" s="8" t="s">
        <v>374</v>
      </c>
      <c r="F61" s="8" t="s">
        <v>375</v>
      </c>
      <c r="G61" s="8">
        <v>2023</v>
      </c>
      <c r="H61" s="8" t="str">
        <f>CONCATENATE("34210027719")</f>
        <v>34210027719</v>
      </c>
      <c r="I61" s="8" t="s">
        <v>48</v>
      </c>
      <c r="J61" s="8" t="s">
        <v>34</v>
      </c>
      <c r="K61" s="8" t="str">
        <f t="shared" si="0"/>
        <v/>
      </c>
      <c r="L61" s="8" t="str">
        <f>CONCATENATE("13 13.1 4a")</f>
        <v>13 13.1 4a</v>
      </c>
      <c r="M61" s="8" t="str">
        <f>CONCATENATE("RBNMLR55P50B352D")</f>
        <v>RBNMLR55P50B352D</v>
      </c>
      <c r="N61" s="8" t="s">
        <v>376</v>
      </c>
      <c r="O61" s="8" t="s">
        <v>261</v>
      </c>
      <c r="P61" s="9">
        <v>45371</v>
      </c>
      <c r="Q61" s="8" t="s">
        <v>37</v>
      </c>
      <c r="R61" s="8" t="s">
        <v>38</v>
      </c>
      <c r="S61" s="8" t="s">
        <v>39</v>
      </c>
      <c r="T61" s="8"/>
      <c r="U61" s="8" t="s">
        <v>40</v>
      </c>
      <c r="V61" s="8" t="s">
        <v>377</v>
      </c>
      <c r="W61" s="8" t="s">
        <v>378</v>
      </c>
      <c r="X61" s="8" t="s">
        <v>379</v>
      </c>
      <c r="Y61" s="8" t="s">
        <v>380</v>
      </c>
      <c r="Z61" s="8" t="s">
        <v>45</v>
      </c>
    </row>
    <row r="62" spans="1:26" ht="58.8" x14ac:dyDescent="0.3">
      <c r="A62" s="8" t="s">
        <v>27</v>
      </c>
      <c r="B62" s="8" t="s">
        <v>28</v>
      </c>
      <c r="C62" s="8" t="s">
        <v>29</v>
      </c>
      <c r="D62" s="8" t="s">
        <v>140</v>
      </c>
      <c r="E62" s="8" t="s">
        <v>31</v>
      </c>
      <c r="F62" s="8" t="s">
        <v>381</v>
      </c>
      <c r="G62" s="8">
        <v>2023</v>
      </c>
      <c r="H62" s="8" t="str">
        <f>CONCATENATE("34210004502")</f>
        <v>34210004502</v>
      </c>
      <c r="I62" s="8" t="s">
        <v>48</v>
      </c>
      <c r="J62" s="8" t="s">
        <v>34</v>
      </c>
      <c r="K62" s="8" t="str">
        <f t="shared" si="0"/>
        <v/>
      </c>
      <c r="L62" s="8" t="str">
        <f>CONCATENATE("13 13.1 4a")</f>
        <v>13 13.1 4a</v>
      </c>
      <c r="M62" s="8" t="str">
        <f>CONCATENATE("BLDMGR50D50A327K")</f>
        <v>BLDMGR50D50A327K</v>
      </c>
      <c r="N62" s="8" t="s">
        <v>382</v>
      </c>
      <c r="O62" s="8" t="s">
        <v>261</v>
      </c>
      <c r="P62" s="9">
        <v>45371</v>
      </c>
      <c r="Q62" s="8" t="s">
        <v>37</v>
      </c>
      <c r="R62" s="8" t="s">
        <v>38</v>
      </c>
      <c r="S62" s="8" t="s">
        <v>39</v>
      </c>
      <c r="T62" s="8"/>
      <c r="U62" s="8" t="s">
        <v>40</v>
      </c>
      <c r="V62" s="8" t="s">
        <v>383</v>
      </c>
      <c r="W62" s="8" t="s">
        <v>384</v>
      </c>
      <c r="X62" s="8" t="s">
        <v>385</v>
      </c>
      <c r="Y62" s="8" t="s">
        <v>386</v>
      </c>
      <c r="Z62" s="8" t="s">
        <v>45</v>
      </c>
    </row>
    <row r="63" spans="1:26" ht="58.8" x14ac:dyDescent="0.3">
      <c r="A63" s="8" t="s">
        <v>27</v>
      </c>
      <c r="B63" s="8" t="s">
        <v>28</v>
      </c>
      <c r="C63" s="8" t="s">
        <v>29</v>
      </c>
      <c r="D63" s="8" t="s">
        <v>140</v>
      </c>
      <c r="E63" s="8" t="s">
        <v>76</v>
      </c>
      <c r="F63" s="8" t="s">
        <v>272</v>
      </c>
      <c r="G63" s="8">
        <v>2023</v>
      </c>
      <c r="H63" s="8" t="str">
        <f>CONCATENATE("34210060991")</f>
        <v>34210060991</v>
      </c>
      <c r="I63" s="8" t="s">
        <v>48</v>
      </c>
      <c r="J63" s="8" t="s">
        <v>34</v>
      </c>
      <c r="K63" s="8" t="str">
        <f t="shared" si="0"/>
        <v/>
      </c>
      <c r="L63" s="8" t="str">
        <f>CONCATENATE("13 13.1 4a")</f>
        <v>13 13.1 4a</v>
      </c>
      <c r="M63" s="8" t="str">
        <f>CONCATENATE("MGNRNG59M65B371F")</f>
        <v>MGNRNG59M65B371F</v>
      </c>
      <c r="N63" s="8" t="s">
        <v>387</v>
      </c>
      <c r="O63" s="8" t="s">
        <v>261</v>
      </c>
      <c r="P63" s="9">
        <v>45371</v>
      </c>
      <c r="Q63" s="8" t="s">
        <v>37</v>
      </c>
      <c r="R63" s="8" t="s">
        <v>38</v>
      </c>
      <c r="S63" s="8" t="s">
        <v>39</v>
      </c>
      <c r="T63" s="8"/>
      <c r="U63" s="8" t="s">
        <v>40</v>
      </c>
      <c r="V63" s="8" t="s">
        <v>388</v>
      </c>
      <c r="W63" s="8" t="s">
        <v>389</v>
      </c>
      <c r="X63" s="8" t="s">
        <v>390</v>
      </c>
      <c r="Y63" s="8" t="s">
        <v>391</v>
      </c>
      <c r="Z63" s="8" t="s">
        <v>45</v>
      </c>
    </row>
    <row r="64" spans="1:26" ht="49.2" x14ac:dyDescent="0.3">
      <c r="A64" s="8" t="s">
        <v>27</v>
      </c>
      <c r="B64" s="8" t="s">
        <v>28</v>
      </c>
      <c r="C64" s="8" t="s">
        <v>29</v>
      </c>
      <c r="D64" s="8" t="s">
        <v>30</v>
      </c>
      <c r="E64" s="8" t="s">
        <v>97</v>
      </c>
      <c r="F64" s="8" t="s">
        <v>169</v>
      </c>
      <c r="G64" s="8">
        <v>2023</v>
      </c>
      <c r="H64" s="8" t="str">
        <f>CONCATENATE("34210036546")</f>
        <v>34210036546</v>
      </c>
      <c r="I64" s="8" t="s">
        <v>48</v>
      </c>
      <c r="J64" s="8" t="s">
        <v>34</v>
      </c>
      <c r="K64" s="8" t="str">
        <f t="shared" si="0"/>
        <v/>
      </c>
      <c r="L64" s="8" t="str">
        <f>CONCATENATE("13 13.1 4a")</f>
        <v>13 13.1 4a</v>
      </c>
      <c r="M64" s="8" t="str">
        <f>CONCATENATE("RNZRLA65D09B474J")</f>
        <v>RNZRLA65D09B474J</v>
      </c>
      <c r="N64" s="8" t="s">
        <v>392</v>
      </c>
      <c r="O64" s="8" t="s">
        <v>261</v>
      </c>
      <c r="P64" s="9">
        <v>45371</v>
      </c>
      <c r="Q64" s="8" t="s">
        <v>37</v>
      </c>
      <c r="R64" s="8" t="s">
        <v>38</v>
      </c>
      <c r="S64" s="8" t="s">
        <v>39</v>
      </c>
      <c r="T64" s="8"/>
      <c r="U64" s="8" t="s">
        <v>40</v>
      </c>
      <c r="V64" s="8" t="s">
        <v>393</v>
      </c>
      <c r="W64" s="8" t="s">
        <v>394</v>
      </c>
      <c r="X64" s="8" t="s">
        <v>395</v>
      </c>
      <c r="Y64" s="8" t="s">
        <v>396</v>
      </c>
      <c r="Z64" s="8" t="s">
        <v>45</v>
      </c>
    </row>
    <row r="65" spans="1:26" ht="49.2" x14ac:dyDescent="0.3">
      <c r="A65" s="8" t="s">
        <v>27</v>
      </c>
      <c r="B65" s="8" t="s">
        <v>28</v>
      </c>
      <c r="C65" s="8" t="s">
        <v>29</v>
      </c>
      <c r="D65" s="8" t="s">
        <v>30</v>
      </c>
      <c r="E65" s="8" t="s">
        <v>97</v>
      </c>
      <c r="F65" s="8" t="s">
        <v>169</v>
      </c>
      <c r="G65" s="8">
        <v>2023</v>
      </c>
      <c r="H65" s="8" t="str">
        <f>CONCATENATE("34240244631")</f>
        <v>34240244631</v>
      </c>
      <c r="I65" s="8" t="s">
        <v>48</v>
      </c>
      <c r="J65" s="8" t="s">
        <v>34</v>
      </c>
      <c r="K65" s="8" t="str">
        <f t="shared" si="0"/>
        <v/>
      </c>
      <c r="L65" s="8" t="str">
        <f>CONCATENATE("11 11.2 4b")</f>
        <v>11 11.2 4b</v>
      </c>
      <c r="M65" s="8" t="str">
        <f>CONCATENATE("RNZRLA65D09B474J")</f>
        <v>RNZRLA65D09B474J</v>
      </c>
      <c r="N65" s="8" t="s">
        <v>392</v>
      </c>
      <c r="O65" s="8" t="s">
        <v>295</v>
      </c>
      <c r="P65" s="9">
        <v>45371</v>
      </c>
      <c r="Q65" s="8" t="s">
        <v>37</v>
      </c>
      <c r="R65" s="8" t="s">
        <v>38</v>
      </c>
      <c r="S65" s="8" t="s">
        <v>39</v>
      </c>
      <c r="T65" s="8"/>
      <c r="U65" s="8" t="s">
        <v>40</v>
      </c>
      <c r="V65" s="8" t="s">
        <v>397</v>
      </c>
      <c r="W65" s="8" t="s">
        <v>398</v>
      </c>
      <c r="X65" s="8" t="s">
        <v>399</v>
      </c>
      <c r="Y65" s="8" t="s">
        <v>400</v>
      </c>
      <c r="Z65" s="8" t="s">
        <v>45</v>
      </c>
    </row>
    <row r="66" spans="1:26" ht="49.2" x14ac:dyDescent="0.3">
      <c r="A66" s="8" t="s">
        <v>27</v>
      </c>
      <c r="B66" s="8" t="s">
        <v>28</v>
      </c>
      <c r="C66" s="8" t="s">
        <v>29</v>
      </c>
      <c r="D66" s="8" t="s">
        <v>140</v>
      </c>
      <c r="E66" s="8" t="s">
        <v>97</v>
      </c>
      <c r="F66" s="8" t="s">
        <v>259</v>
      </c>
      <c r="G66" s="8">
        <v>2023</v>
      </c>
      <c r="H66" s="8" t="str">
        <f>CONCATENATE("34210086897")</f>
        <v>34210086897</v>
      </c>
      <c r="I66" s="8" t="s">
        <v>33</v>
      </c>
      <c r="J66" s="8" t="s">
        <v>34</v>
      </c>
      <c r="K66" s="8" t="str">
        <f t="shared" si="0"/>
        <v/>
      </c>
      <c r="L66" s="8" t="str">
        <f t="shared" ref="L66:L75" si="3">CONCATENATE("13 13.1 4a")</f>
        <v>13 13.1 4a</v>
      </c>
      <c r="M66" s="8" t="str">
        <f>CONCATENATE("SPDMNL84S25L500W")</f>
        <v>SPDMNL84S25L500W</v>
      </c>
      <c r="N66" s="8" t="s">
        <v>401</v>
      </c>
      <c r="O66" s="8" t="s">
        <v>261</v>
      </c>
      <c r="P66" s="9">
        <v>45371</v>
      </c>
      <c r="Q66" s="8" t="s">
        <v>37</v>
      </c>
      <c r="R66" s="8" t="s">
        <v>38</v>
      </c>
      <c r="S66" s="8" t="s">
        <v>39</v>
      </c>
      <c r="T66" s="8"/>
      <c r="U66" s="8" t="s">
        <v>40</v>
      </c>
      <c r="V66" s="8" t="s">
        <v>402</v>
      </c>
      <c r="W66" s="8" t="s">
        <v>403</v>
      </c>
      <c r="X66" s="8" t="s">
        <v>404</v>
      </c>
      <c r="Y66" s="8" t="s">
        <v>405</v>
      </c>
      <c r="Z66" s="8" t="s">
        <v>45</v>
      </c>
    </row>
    <row r="67" spans="1:26" ht="49.2" x14ac:dyDescent="0.3">
      <c r="A67" s="8" t="s">
        <v>27</v>
      </c>
      <c r="B67" s="8" t="s">
        <v>28</v>
      </c>
      <c r="C67" s="8" t="s">
        <v>29</v>
      </c>
      <c r="D67" s="8" t="s">
        <v>140</v>
      </c>
      <c r="E67" s="8" t="s">
        <v>76</v>
      </c>
      <c r="F67" s="8" t="s">
        <v>406</v>
      </c>
      <c r="G67" s="8">
        <v>2023</v>
      </c>
      <c r="H67" s="8" t="str">
        <f>CONCATENATE("34210074976")</f>
        <v>34210074976</v>
      </c>
      <c r="I67" s="8" t="s">
        <v>48</v>
      </c>
      <c r="J67" s="8" t="s">
        <v>34</v>
      </c>
      <c r="K67" s="8" t="str">
        <f t="shared" si="0"/>
        <v/>
      </c>
      <c r="L67" s="8" t="str">
        <f t="shared" si="3"/>
        <v>13 13.1 4a</v>
      </c>
      <c r="M67" s="8" t="str">
        <f>CONCATENATE("CAIRDC65R47Z129R")</f>
        <v>CAIRDC65R47Z129R</v>
      </c>
      <c r="N67" s="8" t="s">
        <v>407</v>
      </c>
      <c r="O67" s="8" t="s">
        <v>261</v>
      </c>
      <c r="P67" s="9">
        <v>45371</v>
      </c>
      <c r="Q67" s="8" t="s">
        <v>37</v>
      </c>
      <c r="R67" s="8" t="s">
        <v>38</v>
      </c>
      <c r="S67" s="8" t="s">
        <v>39</v>
      </c>
      <c r="T67" s="8"/>
      <c r="U67" s="8" t="s">
        <v>40</v>
      </c>
      <c r="V67" s="8" t="s">
        <v>408</v>
      </c>
      <c r="W67" s="8" t="s">
        <v>409</v>
      </c>
      <c r="X67" s="8" t="s">
        <v>410</v>
      </c>
      <c r="Y67" s="8" t="s">
        <v>411</v>
      </c>
      <c r="Z67" s="8" t="s">
        <v>45</v>
      </c>
    </row>
    <row r="68" spans="1:26" ht="30" x14ac:dyDescent="0.3">
      <c r="A68" s="8" t="s">
        <v>27</v>
      </c>
      <c r="B68" s="8" t="s">
        <v>28</v>
      </c>
      <c r="C68" s="8" t="s">
        <v>29</v>
      </c>
      <c r="D68" s="8" t="s">
        <v>140</v>
      </c>
      <c r="E68" s="8" t="s">
        <v>31</v>
      </c>
      <c r="F68" s="8" t="s">
        <v>412</v>
      </c>
      <c r="G68" s="8">
        <v>2023</v>
      </c>
      <c r="H68" s="8" t="str">
        <f>CONCATENATE("34210075361")</f>
        <v>34210075361</v>
      </c>
      <c r="I68" s="8" t="s">
        <v>48</v>
      </c>
      <c r="J68" s="8" t="s">
        <v>34</v>
      </c>
      <c r="K68" s="8" t="str">
        <f t="shared" ref="K68:K131" si="4">CONCATENATE("")</f>
        <v/>
      </c>
      <c r="L68" s="8" t="str">
        <f t="shared" si="3"/>
        <v>13 13.1 4a</v>
      </c>
      <c r="M68" s="8" t="str">
        <f>CONCATENATE("01213280413")</f>
        <v>01213280413</v>
      </c>
      <c r="N68" s="8" t="s">
        <v>413</v>
      </c>
      <c r="O68" s="8" t="s">
        <v>261</v>
      </c>
      <c r="P68" s="9">
        <v>45371</v>
      </c>
      <c r="Q68" s="8" t="s">
        <v>37</v>
      </c>
      <c r="R68" s="8" t="s">
        <v>38</v>
      </c>
      <c r="S68" s="8" t="s">
        <v>39</v>
      </c>
      <c r="T68" s="8"/>
      <c r="U68" s="8" t="s">
        <v>40</v>
      </c>
      <c r="V68" s="8" t="s">
        <v>414</v>
      </c>
      <c r="W68" s="8" t="s">
        <v>415</v>
      </c>
      <c r="X68" s="8" t="s">
        <v>416</v>
      </c>
      <c r="Y68" s="8" t="s">
        <v>417</v>
      </c>
      <c r="Z68" s="8" t="s">
        <v>45</v>
      </c>
    </row>
    <row r="69" spans="1:26" ht="49.2" x14ac:dyDescent="0.3">
      <c r="A69" s="8" t="s">
        <v>27</v>
      </c>
      <c r="B69" s="8" t="s">
        <v>28</v>
      </c>
      <c r="C69" s="8" t="s">
        <v>29</v>
      </c>
      <c r="D69" s="8" t="s">
        <v>84</v>
      </c>
      <c r="E69" s="8" t="s">
        <v>76</v>
      </c>
      <c r="F69" s="8" t="s">
        <v>152</v>
      </c>
      <c r="G69" s="8">
        <v>2023</v>
      </c>
      <c r="H69" s="8" t="str">
        <f>CONCATENATE("34210021084")</f>
        <v>34210021084</v>
      </c>
      <c r="I69" s="8" t="s">
        <v>48</v>
      </c>
      <c r="J69" s="8" t="s">
        <v>34</v>
      </c>
      <c r="K69" s="8" t="str">
        <f t="shared" si="4"/>
        <v/>
      </c>
      <c r="L69" s="8" t="str">
        <f t="shared" si="3"/>
        <v>13 13.1 4a</v>
      </c>
      <c r="M69" s="8" t="str">
        <f>CONCATENATE("FRRFNC68D44A462Y")</f>
        <v>FRRFNC68D44A462Y</v>
      </c>
      <c r="N69" s="8" t="s">
        <v>418</v>
      </c>
      <c r="O69" s="8" t="s">
        <v>261</v>
      </c>
      <c r="P69" s="9">
        <v>45371</v>
      </c>
      <c r="Q69" s="8" t="s">
        <v>37</v>
      </c>
      <c r="R69" s="8" t="s">
        <v>38</v>
      </c>
      <c r="S69" s="8" t="s">
        <v>39</v>
      </c>
      <c r="T69" s="8"/>
      <c r="U69" s="8" t="s">
        <v>40</v>
      </c>
      <c r="V69" s="8" t="s">
        <v>419</v>
      </c>
      <c r="W69" s="8" t="s">
        <v>420</v>
      </c>
      <c r="X69" s="8" t="s">
        <v>421</v>
      </c>
      <c r="Y69" s="8" t="s">
        <v>422</v>
      </c>
      <c r="Z69" s="8" t="s">
        <v>45</v>
      </c>
    </row>
    <row r="70" spans="1:26" ht="30" x14ac:dyDescent="0.3">
      <c r="A70" s="8" t="s">
        <v>27</v>
      </c>
      <c r="B70" s="8" t="s">
        <v>28</v>
      </c>
      <c r="C70" s="8" t="s">
        <v>29</v>
      </c>
      <c r="D70" s="8" t="s">
        <v>140</v>
      </c>
      <c r="E70" s="8" t="s">
        <v>31</v>
      </c>
      <c r="F70" s="8" t="s">
        <v>289</v>
      </c>
      <c r="G70" s="8">
        <v>2023</v>
      </c>
      <c r="H70" s="8" t="str">
        <f>CONCATENATE("34210034533")</f>
        <v>34210034533</v>
      </c>
      <c r="I70" s="8" t="s">
        <v>48</v>
      </c>
      <c r="J70" s="8" t="s">
        <v>34</v>
      </c>
      <c r="K70" s="8" t="str">
        <f t="shared" si="4"/>
        <v/>
      </c>
      <c r="L70" s="8" t="str">
        <f t="shared" si="3"/>
        <v>13 13.1 4a</v>
      </c>
      <c r="M70" s="8" t="str">
        <f>CONCATENATE("01394890410")</f>
        <v>01394890410</v>
      </c>
      <c r="N70" s="8" t="s">
        <v>423</v>
      </c>
      <c r="O70" s="8" t="s">
        <v>261</v>
      </c>
      <c r="P70" s="9">
        <v>45371</v>
      </c>
      <c r="Q70" s="8" t="s">
        <v>37</v>
      </c>
      <c r="R70" s="8" t="s">
        <v>38</v>
      </c>
      <c r="S70" s="8" t="s">
        <v>39</v>
      </c>
      <c r="T70" s="8"/>
      <c r="U70" s="8" t="s">
        <v>40</v>
      </c>
      <c r="V70" s="8" t="s">
        <v>424</v>
      </c>
      <c r="W70" s="8" t="s">
        <v>425</v>
      </c>
      <c r="X70" s="8" t="s">
        <v>426</v>
      </c>
      <c r="Y70" s="8" t="s">
        <v>427</v>
      </c>
      <c r="Z70" s="8" t="s">
        <v>45</v>
      </c>
    </row>
    <row r="71" spans="1:26" ht="49.2" x14ac:dyDescent="0.3">
      <c r="A71" s="8" t="s">
        <v>27</v>
      </c>
      <c r="B71" s="8" t="s">
        <v>28</v>
      </c>
      <c r="C71" s="8" t="s">
        <v>29</v>
      </c>
      <c r="D71" s="8" t="s">
        <v>140</v>
      </c>
      <c r="E71" s="8" t="s">
        <v>31</v>
      </c>
      <c r="F71" s="8" t="s">
        <v>330</v>
      </c>
      <c r="G71" s="8">
        <v>2016</v>
      </c>
      <c r="H71" s="8" t="str">
        <f>CONCATENATE("64211150384")</f>
        <v>64211150384</v>
      </c>
      <c r="I71" s="8" t="s">
        <v>48</v>
      </c>
      <c r="J71" s="8" t="s">
        <v>34</v>
      </c>
      <c r="K71" s="8" t="str">
        <f t="shared" si="4"/>
        <v/>
      </c>
      <c r="L71" s="8" t="str">
        <f t="shared" si="3"/>
        <v>13 13.1 4a</v>
      </c>
      <c r="M71" s="8" t="str">
        <f>CONCATENATE("PCAGNN44D25F497Q")</f>
        <v>PCAGNN44D25F497Q</v>
      </c>
      <c r="N71" s="8" t="s">
        <v>428</v>
      </c>
      <c r="O71" s="8" t="s">
        <v>261</v>
      </c>
      <c r="P71" s="9">
        <v>45371</v>
      </c>
      <c r="Q71" s="8" t="s">
        <v>37</v>
      </c>
      <c r="R71" s="8" t="s">
        <v>38</v>
      </c>
      <c r="S71" s="8" t="s">
        <v>39</v>
      </c>
      <c r="T71" s="8"/>
      <c r="U71" s="8" t="s">
        <v>40</v>
      </c>
      <c r="V71" s="8" t="s">
        <v>429</v>
      </c>
      <c r="W71" s="8" t="s">
        <v>430</v>
      </c>
      <c r="X71" s="8" t="s">
        <v>431</v>
      </c>
      <c r="Y71" s="8" t="s">
        <v>432</v>
      </c>
      <c r="Z71" s="8" t="s">
        <v>45</v>
      </c>
    </row>
    <row r="72" spans="1:26" ht="49.2" x14ac:dyDescent="0.3">
      <c r="A72" s="8" t="s">
        <v>27</v>
      </c>
      <c r="B72" s="8" t="s">
        <v>28</v>
      </c>
      <c r="C72" s="8" t="s">
        <v>29</v>
      </c>
      <c r="D72" s="8" t="s">
        <v>140</v>
      </c>
      <c r="E72" s="8" t="s">
        <v>31</v>
      </c>
      <c r="F72" s="8" t="s">
        <v>289</v>
      </c>
      <c r="G72" s="8">
        <v>2023</v>
      </c>
      <c r="H72" s="8" t="str">
        <f>CONCATENATE("34210048418")</f>
        <v>34210048418</v>
      </c>
      <c r="I72" s="8" t="s">
        <v>48</v>
      </c>
      <c r="J72" s="8" t="s">
        <v>34</v>
      </c>
      <c r="K72" s="8" t="str">
        <f t="shared" si="4"/>
        <v/>
      </c>
      <c r="L72" s="8" t="str">
        <f t="shared" si="3"/>
        <v>13 13.1 4a</v>
      </c>
      <c r="M72" s="8" t="str">
        <f>CONCATENATE("GDCGRL92P15D749D")</f>
        <v>GDCGRL92P15D749D</v>
      </c>
      <c r="N72" s="8" t="s">
        <v>433</v>
      </c>
      <c r="O72" s="8" t="s">
        <v>261</v>
      </c>
      <c r="P72" s="9">
        <v>45371</v>
      </c>
      <c r="Q72" s="8" t="s">
        <v>37</v>
      </c>
      <c r="R72" s="8" t="s">
        <v>38</v>
      </c>
      <c r="S72" s="8" t="s">
        <v>39</v>
      </c>
      <c r="T72" s="8"/>
      <c r="U72" s="8" t="s">
        <v>40</v>
      </c>
      <c r="V72" s="8" t="s">
        <v>434</v>
      </c>
      <c r="W72" s="8" t="s">
        <v>435</v>
      </c>
      <c r="X72" s="8" t="s">
        <v>436</v>
      </c>
      <c r="Y72" s="8" t="s">
        <v>437</v>
      </c>
      <c r="Z72" s="8" t="s">
        <v>45</v>
      </c>
    </row>
    <row r="73" spans="1:26" ht="49.2" x14ac:dyDescent="0.3">
      <c r="A73" s="8" t="s">
        <v>27</v>
      </c>
      <c r="B73" s="8" t="s">
        <v>28</v>
      </c>
      <c r="C73" s="8" t="s">
        <v>29</v>
      </c>
      <c r="D73" s="8" t="s">
        <v>140</v>
      </c>
      <c r="E73" s="8" t="s">
        <v>76</v>
      </c>
      <c r="F73" s="8" t="s">
        <v>438</v>
      </c>
      <c r="G73" s="8">
        <v>2017</v>
      </c>
      <c r="H73" s="8" t="str">
        <f>CONCATENATE("74210382862")</f>
        <v>74210382862</v>
      </c>
      <c r="I73" s="8" t="s">
        <v>48</v>
      </c>
      <c r="J73" s="8" t="s">
        <v>34</v>
      </c>
      <c r="K73" s="8" t="str">
        <f t="shared" si="4"/>
        <v/>
      </c>
      <c r="L73" s="8" t="str">
        <f t="shared" si="3"/>
        <v>13 13.1 4a</v>
      </c>
      <c r="M73" s="8" t="str">
        <f>CONCATENATE("PGNSDR61S23L500D")</f>
        <v>PGNSDR61S23L500D</v>
      </c>
      <c r="N73" s="8" t="s">
        <v>439</v>
      </c>
      <c r="O73" s="8" t="s">
        <v>261</v>
      </c>
      <c r="P73" s="9">
        <v>45371</v>
      </c>
      <c r="Q73" s="8" t="s">
        <v>37</v>
      </c>
      <c r="R73" s="8" t="s">
        <v>38</v>
      </c>
      <c r="S73" s="8" t="s">
        <v>39</v>
      </c>
      <c r="T73" s="8"/>
      <c r="U73" s="8" t="s">
        <v>40</v>
      </c>
      <c r="V73" s="8" t="s">
        <v>440</v>
      </c>
      <c r="W73" s="8" t="s">
        <v>441</v>
      </c>
      <c r="X73" s="8" t="s">
        <v>442</v>
      </c>
      <c r="Y73" s="8" t="s">
        <v>443</v>
      </c>
      <c r="Z73" s="8" t="s">
        <v>45</v>
      </c>
    </row>
    <row r="74" spans="1:26" ht="58.8" x14ac:dyDescent="0.3">
      <c r="A74" s="8" t="s">
        <v>27</v>
      </c>
      <c r="B74" s="8" t="s">
        <v>28</v>
      </c>
      <c r="C74" s="8" t="s">
        <v>29</v>
      </c>
      <c r="D74" s="8" t="s">
        <v>140</v>
      </c>
      <c r="E74" s="8" t="s">
        <v>76</v>
      </c>
      <c r="F74" s="8" t="s">
        <v>272</v>
      </c>
      <c r="G74" s="8">
        <v>2023</v>
      </c>
      <c r="H74" s="8" t="str">
        <f>CONCATENATE("34210101191")</f>
        <v>34210101191</v>
      </c>
      <c r="I74" s="8" t="s">
        <v>48</v>
      </c>
      <c r="J74" s="8" t="s">
        <v>34</v>
      </c>
      <c r="K74" s="8" t="str">
        <f t="shared" si="4"/>
        <v/>
      </c>
      <c r="L74" s="8" t="str">
        <f t="shared" si="3"/>
        <v>13 13.1 4a</v>
      </c>
      <c r="M74" s="8" t="str">
        <f>CONCATENATE("BRSNMR51E41E785Q")</f>
        <v>BRSNMR51E41E785Q</v>
      </c>
      <c r="N74" s="8" t="s">
        <v>444</v>
      </c>
      <c r="O74" s="8" t="s">
        <v>261</v>
      </c>
      <c r="P74" s="9">
        <v>45371</v>
      </c>
      <c r="Q74" s="8" t="s">
        <v>37</v>
      </c>
      <c r="R74" s="8" t="s">
        <v>38</v>
      </c>
      <c r="S74" s="8" t="s">
        <v>39</v>
      </c>
      <c r="T74" s="8"/>
      <c r="U74" s="8" t="s">
        <v>40</v>
      </c>
      <c r="V74" s="8" t="s">
        <v>445</v>
      </c>
      <c r="W74" s="8" t="s">
        <v>446</v>
      </c>
      <c r="X74" s="8" t="s">
        <v>447</v>
      </c>
      <c r="Y74" s="8" t="s">
        <v>448</v>
      </c>
      <c r="Z74" s="8" t="s">
        <v>45</v>
      </c>
    </row>
    <row r="75" spans="1:26" ht="49.2" x14ac:dyDescent="0.3">
      <c r="A75" s="8" t="s">
        <v>27</v>
      </c>
      <c r="B75" s="8" t="s">
        <v>28</v>
      </c>
      <c r="C75" s="8" t="s">
        <v>29</v>
      </c>
      <c r="D75" s="8" t="s">
        <v>84</v>
      </c>
      <c r="E75" s="8" t="s">
        <v>278</v>
      </c>
      <c r="F75" s="8" t="s">
        <v>279</v>
      </c>
      <c r="G75" s="8">
        <v>2023</v>
      </c>
      <c r="H75" s="8" t="str">
        <f>CONCATENATE("34210104112")</f>
        <v>34210104112</v>
      </c>
      <c r="I75" s="8" t="s">
        <v>48</v>
      </c>
      <c r="J75" s="8" t="s">
        <v>34</v>
      </c>
      <c r="K75" s="8" t="str">
        <f t="shared" si="4"/>
        <v/>
      </c>
      <c r="L75" s="8" t="str">
        <f t="shared" si="3"/>
        <v>13 13.1 4a</v>
      </c>
      <c r="M75" s="8" t="str">
        <f>CONCATENATE("DSNNGL56A16F570Q")</f>
        <v>DSNNGL56A16F570Q</v>
      </c>
      <c r="N75" s="8" t="s">
        <v>449</v>
      </c>
      <c r="O75" s="8" t="s">
        <v>261</v>
      </c>
      <c r="P75" s="9">
        <v>45371</v>
      </c>
      <c r="Q75" s="8" t="s">
        <v>37</v>
      </c>
      <c r="R75" s="8" t="s">
        <v>38</v>
      </c>
      <c r="S75" s="8" t="s">
        <v>39</v>
      </c>
      <c r="T75" s="8"/>
      <c r="U75" s="8" t="s">
        <v>40</v>
      </c>
      <c r="V75" s="8" t="s">
        <v>450</v>
      </c>
      <c r="W75" s="8" t="s">
        <v>451</v>
      </c>
      <c r="X75" s="8" t="s">
        <v>452</v>
      </c>
      <c r="Y75" s="8" t="s">
        <v>453</v>
      </c>
      <c r="Z75" s="8" t="s">
        <v>45</v>
      </c>
    </row>
    <row r="76" spans="1:26" ht="49.2" x14ac:dyDescent="0.3">
      <c r="A76" s="8" t="s">
        <v>27</v>
      </c>
      <c r="B76" s="8" t="s">
        <v>28</v>
      </c>
      <c r="C76" s="8" t="s">
        <v>29</v>
      </c>
      <c r="D76" s="8" t="s">
        <v>84</v>
      </c>
      <c r="E76" s="8" t="s">
        <v>278</v>
      </c>
      <c r="F76" s="8" t="s">
        <v>279</v>
      </c>
      <c r="G76" s="8">
        <v>2023</v>
      </c>
      <c r="H76" s="8" t="str">
        <f>CONCATENATE("34240630300")</f>
        <v>34240630300</v>
      </c>
      <c r="I76" s="8" t="s">
        <v>48</v>
      </c>
      <c r="J76" s="8" t="s">
        <v>34</v>
      </c>
      <c r="K76" s="8" t="str">
        <f t="shared" si="4"/>
        <v/>
      </c>
      <c r="L76" s="8" t="str">
        <f>CONCATENATE("11 11.2 4b")</f>
        <v>11 11.2 4b</v>
      </c>
      <c r="M76" s="8" t="str">
        <f>CONCATENATE("DSNNGL56A16F570Q")</f>
        <v>DSNNGL56A16F570Q</v>
      </c>
      <c r="N76" s="8" t="s">
        <v>449</v>
      </c>
      <c r="O76" s="8" t="s">
        <v>295</v>
      </c>
      <c r="P76" s="9">
        <v>45371</v>
      </c>
      <c r="Q76" s="8" t="s">
        <v>37</v>
      </c>
      <c r="R76" s="8" t="s">
        <v>38</v>
      </c>
      <c r="S76" s="8" t="s">
        <v>39</v>
      </c>
      <c r="T76" s="8"/>
      <c r="U76" s="8" t="s">
        <v>40</v>
      </c>
      <c r="V76" s="8" t="s">
        <v>454</v>
      </c>
      <c r="W76" s="8" t="s">
        <v>455</v>
      </c>
      <c r="X76" s="8" t="s">
        <v>456</v>
      </c>
      <c r="Y76" s="8" t="s">
        <v>457</v>
      </c>
      <c r="Z76" s="8" t="s">
        <v>45</v>
      </c>
    </row>
    <row r="77" spans="1:26" ht="49.2" x14ac:dyDescent="0.3">
      <c r="A77" s="8" t="s">
        <v>27</v>
      </c>
      <c r="B77" s="8" t="s">
        <v>28</v>
      </c>
      <c r="C77" s="8" t="s">
        <v>29</v>
      </c>
      <c r="D77" s="8" t="s">
        <v>206</v>
      </c>
      <c r="E77" s="8" t="s">
        <v>76</v>
      </c>
      <c r="F77" s="8" t="s">
        <v>141</v>
      </c>
      <c r="G77" s="8">
        <v>2023</v>
      </c>
      <c r="H77" s="8" t="str">
        <f>CONCATENATE("34240409606")</f>
        <v>34240409606</v>
      </c>
      <c r="I77" s="8" t="s">
        <v>48</v>
      </c>
      <c r="J77" s="8" t="s">
        <v>34</v>
      </c>
      <c r="K77" s="8" t="str">
        <f t="shared" si="4"/>
        <v/>
      </c>
      <c r="L77" s="8" t="str">
        <f t="shared" ref="L77:L97" si="5">CONCATENATE("11 11.2 4b")</f>
        <v>11 11.2 4b</v>
      </c>
      <c r="M77" s="8" t="str">
        <f>CONCATENATE("BSSGDI83R56E388J")</f>
        <v>BSSGDI83R56E388J</v>
      </c>
      <c r="N77" s="8" t="s">
        <v>458</v>
      </c>
      <c r="O77" s="8" t="s">
        <v>295</v>
      </c>
      <c r="P77" s="9">
        <v>45371</v>
      </c>
      <c r="Q77" s="8" t="s">
        <v>37</v>
      </c>
      <c r="R77" s="8" t="s">
        <v>38</v>
      </c>
      <c r="S77" s="8" t="s">
        <v>39</v>
      </c>
      <c r="T77" s="8"/>
      <c r="U77" s="8" t="s">
        <v>40</v>
      </c>
      <c r="V77" s="8" t="s">
        <v>459</v>
      </c>
      <c r="W77" s="8" t="s">
        <v>460</v>
      </c>
      <c r="X77" s="8" t="s">
        <v>461</v>
      </c>
      <c r="Y77" s="8" t="s">
        <v>462</v>
      </c>
      <c r="Z77" s="8" t="s">
        <v>45</v>
      </c>
    </row>
    <row r="78" spans="1:26" ht="30" x14ac:dyDescent="0.3">
      <c r="A78" s="8" t="s">
        <v>27</v>
      </c>
      <c r="B78" s="8" t="s">
        <v>28</v>
      </c>
      <c r="C78" s="8" t="s">
        <v>29</v>
      </c>
      <c r="D78" s="8" t="s">
        <v>206</v>
      </c>
      <c r="E78" s="8" t="s">
        <v>76</v>
      </c>
      <c r="F78" s="8" t="s">
        <v>463</v>
      </c>
      <c r="G78" s="8">
        <v>2023</v>
      </c>
      <c r="H78" s="8" t="str">
        <f>CONCATENATE("34240424639")</f>
        <v>34240424639</v>
      </c>
      <c r="I78" s="8" t="s">
        <v>48</v>
      </c>
      <c r="J78" s="8" t="s">
        <v>34</v>
      </c>
      <c r="K78" s="8" t="str">
        <f t="shared" si="4"/>
        <v/>
      </c>
      <c r="L78" s="8" t="str">
        <f t="shared" si="5"/>
        <v>11 11.2 4b</v>
      </c>
      <c r="M78" s="8" t="str">
        <f>CONCATENATE("01745850436")</f>
        <v>01745850436</v>
      </c>
      <c r="N78" s="8" t="s">
        <v>464</v>
      </c>
      <c r="O78" s="8" t="s">
        <v>295</v>
      </c>
      <c r="P78" s="9">
        <v>45371</v>
      </c>
      <c r="Q78" s="8" t="s">
        <v>37</v>
      </c>
      <c r="R78" s="8" t="s">
        <v>38</v>
      </c>
      <c r="S78" s="8" t="s">
        <v>39</v>
      </c>
      <c r="T78" s="8"/>
      <c r="U78" s="8" t="s">
        <v>40</v>
      </c>
      <c r="V78" s="8" t="s">
        <v>465</v>
      </c>
      <c r="W78" s="8" t="s">
        <v>466</v>
      </c>
      <c r="X78" s="8" t="s">
        <v>467</v>
      </c>
      <c r="Y78" s="8" t="s">
        <v>468</v>
      </c>
      <c r="Z78" s="8" t="s">
        <v>45</v>
      </c>
    </row>
    <row r="79" spans="1:26" ht="30" x14ac:dyDescent="0.3">
      <c r="A79" s="8" t="s">
        <v>27</v>
      </c>
      <c r="B79" s="8" t="s">
        <v>28</v>
      </c>
      <c r="C79" s="8" t="s">
        <v>29</v>
      </c>
      <c r="D79" s="8" t="s">
        <v>206</v>
      </c>
      <c r="E79" s="8" t="s">
        <v>46</v>
      </c>
      <c r="F79" s="8" t="s">
        <v>469</v>
      </c>
      <c r="G79" s="8">
        <v>2023</v>
      </c>
      <c r="H79" s="8" t="str">
        <f>CONCATENATE("34240408376")</f>
        <v>34240408376</v>
      </c>
      <c r="I79" s="8" t="s">
        <v>48</v>
      </c>
      <c r="J79" s="8" t="s">
        <v>34</v>
      </c>
      <c r="K79" s="8" t="str">
        <f t="shared" si="4"/>
        <v/>
      </c>
      <c r="L79" s="8" t="str">
        <f t="shared" si="5"/>
        <v>11 11.2 4b</v>
      </c>
      <c r="M79" s="8" t="str">
        <f>CONCATENATE("00078000429")</f>
        <v>00078000429</v>
      </c>
      <c r="N79" s="8" t="s">
        <v>470</v>
      </c>
      <c r="O79" s="8" t="s">
        <v>295</v>
      </c>
      <c r="P79" s="9">
        <v>45371</v>
      </c>
      <c r="Q79" s="8" t="s">
        <v>37</v>
      </c>
      <c r="R79" s="8" t="s">
        <v>38</v>
      </c>
      <c r="S79" s="8" t="s">
        <v>39</v>
      </c>
      <c r="T79" s="8"/>
      <c r="U79" s="8" t="s">
        <v>40</v>
      </c>
      <c r="V79" s="8" t="s">
        <v>471</v>
      </c>
      <c r="W79" s="8" t="s">
        <v>472</v>
      </c>
      <c r="X79" s="8" t="s">
        <v>473</v>
      </c>
      <c r="Y79" s="8" t="s">
        <v>474</v>
      </c>
      <c r="Z79" s="8" t="s">
        <v>45</v>
      </c>
    </row>
    <row r="80" spans="1:26" ht="49.2" x14ac:dyDescent="0.3">
      <c r="A80" s="8" t="s">
        <v>27</v>
      </c>
      <c r="B80" s="8" t="s">
        <v>28</v>
      </c>
      <c r="C80" s="8" t="s">
        <v>29</v>
      </c>
      <c r="D80" s="8" t="s">
        <v>140</v>
      </c>
      <c r="E80" s="8" t="s">
        <v>76</v>
      </c>
      <c r="F80" s="8" t="s">
        <v>475</v>
      </c>
      <c r="G80" s="8">
        <v>2023</v>
      </c>
      <c r="H80" s="8" t="str">
        <f>CONCATENATE("34240116383")</f>
        <v>34240116383</v>
      </c>
      <c r="I80" s="8" t="s">
        <v>48</v>
      </c>
      <c r="J80" s="8" t="s">
        <v>34</v>
      </c>
      <c r="K80" s="8" t="str">
        <f t="shared" si="4"/>
        <v/>
      </c>
      <c r="L80" s="8" t="str">
        <f t="shared" si="5"/>
        <v>11 11.2 4b</v>
      </c>
      <c r="M80" s="8" t="str">
        <f>CONCATENATE("TDDLRT73C29G479X")</f>
        <v>TDDLRT73C29G479X</v>
      </c>
      <c r="N80" s="8" t="s">
        <v>476</v>
      </c>
      <c r="O80" s="8" t="s">
        <v>295</v>
      </c>
      <c r="P80" s="9">
        <v>45371</v>
      </c>
      <c r="Q80" s="8" t="s">
        <v>37</v>
      </c>
      <c r="R80" s="8" t="s">
        <v>38</v>
      </c>
      <c r="S80" s="8" t="s">
        <v>39</v>
      </c>
      <c r="T80" s="8"/>
      <c r="U80" s="8" t="s">
        <v>40</v>
      </c>
      <c r="V80" s="8" t="s">
        <v>477</v>
      </c>
      <c r="W80" s="8" t="s">
        <v>478</v>
      </c>
      <c r="X80" s="8" t="s">
        <v>479</v>
      </c>
      <c r="Y80" s="8" t="s">
        <v>480</v>
      </c>
      <c r="Z80" s="8" t="s">
        <v>45</v>
      </c>
    </row>
    <row r="81" spans="1:26" ht="49.2" x14ac:dyDescent="0.3">
      <c r="A81" s="8" t="s">
        <v>27</v>
      </c>
      <c r="B81" s="8" t="s">
        <v>28</v>
      </c>
      <c r="C81" s="8" t="s">
        <v>29</v>
      </c>
      <c r="D81" s="8" t="s">
        <v>140</v>
      </c>
      <c r="E81" s="8" t="s">
        <v>97</v>
      </c>
      <c r="F81" s="8" t="s">
        <v>481</v>
      </c>
      <c r="G81" s="8">
        <v>2023</v>
      </c>
      <c r="H81" s="8" t="str">
        <f>CONCATENATE("34240774785")</f>
        <v>34240774785</v>
      </c>
      <c r="I81" s="8" t="s">
        <v>48</v>
      </c>
      <c r="J81" s="8" t="s">
        <v>34</v>
      </c>
      <c r="K81" s="8" t="str">
        <f t="shared" si="4"/>
        <v/>
      </c>
      <c r="L81" s="8" t="str">
        <f t="shared" si="5"/>
        <v>11 11.2 4b</v>
      </c>
      <c r="M81" s="8" t="str">
        <f>CONCATENATE("CCCCNZ73H53Z130H")</f>
        <v>CCCCNZ73H53Z130H</v>
      </c>
      <c r="N81" s="8" t="s">
        <v>482</v>
      </c>
      <c r="O81" s="8" t="s">
        <v>295</v>
      </c>
      <c r="P81" s="9">
        <v>45371</v>
      </c>
      <c r="Q81" s="8" t="s">
        <v>37</v>
      </c>
      <c r="R81" s="8" t="s">
        <v>38</v>
      </c>
      <c r="S81" s="8" t="s">
        <v>39</v>
      </c>
      <c r="T81" s="8"/>
      <c r="U81" s="8" t="s">
        <v>40</v>
      </c>
      <c r="V81" s="8" t="s">
        <v>483</v>
      </c>
      <c r="W81" s="8" t="s">
        <v>484</v>
      </c>
      <c r="X81" s="8" t="s">
        <v>485</v>
      </c>
      <c r="Y81" s="8" t="s">
        <v>486</v>
      </c>
      <c r="Z81" s="8" t="s">
        <v>45</v>
      </c>
    </row>
    <row r="82" spans="1:26" ht="30" x14ac:dyDescent="0.3">
      <c r="A82" s="8" t="s">
        <v>27</v>
      </c>
      <c r="B82" s="8" t="s">
        <v>28</v>
      </c>
      <c r="C82" s="8" t="s">
        <v>29</v>
      </c>
      <c r="D82" s="8" t="s">
        <v>140</v>
      </c>
      <c r="E82" s="8" t="s">
        <v>97</v>
      </c>
      <c r="F82" s="8" t="s">
        <v>487</v>
      </c>
      <c r="G82" s="8">
        <v>2023</v>
      </c>
      <c r="H82" s="8" t="str">
        <f>CONCATENATE("34240275585")</f>
        <v>34240275585</v>
      </c>
      <c r="I82" s="8" t="s">
        <v>48</v>
      </c>
      <c r="J82" s="8" t="s">
        <v>34</v>
      </c>
      <c r="K82" s="8" t="str">
        <f t="shared" si="4"/>
        <v/>
      </c>
      <c r="L82" s="8" t="str">
        <f t="shared" si="5"/>
        <v>11 11.2 4b</v>
      </c>
      <c r="M82" s="8" t="str">
        <f>CONCATENATE("02688080411")</f>
        <v>02688080411</v>
      </c>
      <c r="N82" s="8" t="s">
        <v>488</v>
      </c>
      <c r="O82" s="8" t="s">
        <v>295</v>
      </c>
      <c r="P82" s="9">
        <v>45371</v>
      </c>
      <c r="Q82" s="8" t="s">
        <v>37</v>
      </c>
      <c r="R82" s="8" t="s">
        <v>38</v>
      </c>
      <c r="S82" s="8" t="s">
        <v>39</v>
      </c>
      <c r="T82" s="8"/>
      <c r="U82" s="8" t="s">
        <v>40</v>
      </c>
      <c r="V82" s="8" t="s">
        <v>489</v>
      </c>
      <c r="W82" s="8" t="s">
        <v>490</v>
      </c>
      <c r="X82" s="8" t="s">
        <v>491</v>
      </c>
      <c r="Y82" s="8" t="s">
        <v>492</v>
      </c>
      <c r="Z82" s="8" t="s">
        <v>45</v>
      </c>
    </row>
    <row r="83" spans="1:26" ht="30" x14ac:dyDescent="0.3">
      <c r="A83" s="8" t="s">
        <v>27</v>
      </c>
      <c r="B83" s="8" t="s">
        <v>28</v>
      </c>
      <c r="C83" s="8" t="s">
        <v>29</v>
      </c>
      <c r="D83" s="8" t="s">
        <v>206</v>
      </c>
      <c r="E83" s="8" t="s">
        <v>46</v>
      </c>
      <c r="F83" s="8" t="s">
        <v>469</v>
      </c>
      <c r="G83" s="8">
        <v>2020</v>
      </c>
      <c r="H83" s="8" t="str">
        <f>CONCATENATE("04240209421")</f>
        <v>04240209421</v>
      </c>
      <c r="I83" s="8" t="s">
        <v>48</v>
      </c>
      <c r="J83" s="8" t="s">
        <v>34</v>
      </c>
      <c r="K83" s="8" t="str">
        <f t="shared" si="4"/>
        <v/>
      </c>
      <c r="L83" s="8" t="str">
        <f t="shared" si="5"/>
        <v>11 11.2 4b</v>
      </c>
      <c r="M83" s="8" t="str">
        <f>CONCATENATE("02666090424")</f>
        <v>02666090424</v>
      </c>
      <c r="N83" s="8" t="s">
        <v>493</v>
      </c>
      <c r="O83" s="8" t="s">
        <v>295</v>
      </c>
      <c r="P83" s="9">
        <v>45371</v>
      </c>
      <c r="Q83" s="8" t="s">
        <v>37</v>
      </c>
      <c r="R83" s="8" t="s">
        <v>38</v>
      </c>
      <c r="S83" s="8" t="s">
        <v>39</v>
      </c>
      <c r="T83" s="8"/>
      <c r="U83" s="8" t="s">
        <v>40</v>
      </c>
      <c r="V83" s="8" t="s">
        <v>494</v>
      </c>
      <c r="W83" s="8" t="s">
        <v>495</v>
      </c>
      <c r="X83" s="8" t="s">
        <v>496</v>
      </c>
      <c r="Y83" s="8" t="s">
        <v>497</v>
      </c>
      <c r="Z83" s="8" t="s">
        <v>45</v>
      </c>
    </row>
    <row r="84" spans="1:26" ht="30" x14ac:dyDescent="0.3">
      <c r="A84" s="8" t="s">
        <v>27</v>
      </c>
      <c r="B84" s="8" t="s">
        <v>28</v>
      </c>
      <c r="C84" s="8" t="s">
        <v>29</v>
      </c>
      <c r="D84" s="8" t="s">
        <v>206</v>
      </c>
      <c r="E84" s="8" t="s">
        <v>76</v>
      </c>
      <c r="F84" s="8" t="s">
        <v>463</v>
      </c>
      <c r="G84" s="8">
        <v>2021</v>
      </c>
      <c r="H84" s="8" t="str">
        <f>CONCATENATE("14240984402")</f>
        <v>14240984402</v>
      </c>
      <c r="I84" s="8" t="s">
        <v>48</v>
      </c>
      <c r="J84" s="8" t="s">
        <v>34</v>
      </c>
      <c r="K84" s="8" t="str">
        <f t="shared" si="4"/>
        <v/>
      </c>
      <c r="L84" s="8" t="str">
        <f t="shared" si="5"/>
        <v>11 11.2 4b</v>
      </c>
      <c r="M84" s="8" t="str">
        <f>CONCATENATE("00283690428")</f>
        <v>00283690428</v>
      </c>
      <c r="N84" s="8" t="s">
        <v>498</v>
      </c>
      <c r="O84" s="8" t="s">
        <v>295</v>
      </c>
      <c r="P84" s="9">
        <v>45371</v>
      </c>
      <c r="Q84" s="8" t="s">
        <v>37</v>
      </c>
      <c r="R84" s="8" t="s">
        <v>38</v>
      </c>
      <c r="S84" s="8" t="s">
        <v>39</v>
      </c>
      <c r="T84" s="8"/>
      <c r="U84" s="8" t="s">
        <v>40</v>
      </c>
      <c r="V84" s="8" t="s">
        <v>499</v>
      </c>
      <c r="W84" s="8" t="s">
        <v>500</v>
      </c>
      <c r="X84" s="8" t="s">
        <v>501</v>
      </c>
      <c r="Y84" s="8" t="s">
        <v>502</v>
      </c>
      <c r="Z84" s="8" t="s">
        <v>45</v>
      </c>
    </row>
    <row r="85" spans="1:26" ht="49.2" x14ac:dyDescent="0.3">
      <c r="A85" s="8" t="s">
        <v>27</v>
      </c>
      <c r="B85" s="8" t="s">
        <v>28</v>
      </c>
      <c r="C85" s="8" t="s">
        <v>29</v>
      </c>
      <c r="D85" s="8" t="s">
        <v>30</v>
      </c>
      <c r="E85" s="8" t="s">
        <v>31</v>
      </c>
      <c r="F85" s="8" t="s">
        <v>70</v>
      </c>
      <c r="G85" s="8">
        <v>2023</v>
      </c>
      <c r="H85" s="8" t="str">
        <f>CONCATENATE("34240085315")</f>
        <v>34240085315</v>
      </c>
      <c r="I85" s="8" t="s">
        <v>48</v>
      </c>
      <c r="J85" s="8" t="s">
        <v>34</v>
      </c>
      <c r="K85" s="8" t="str">
        <f t="shared" si="4"/>
        <v/>
      </c>
      <c r="L85" s="8" t="str">
        <f t="shared" si="5"/>
        <v>11 11.2 4b</v>
      </c>
      <c r="M85" s="8" t="str">
        <f>CONCATENATE("TMNRNZ59P09D542X")</f>
        <v>TMNRNZ59P09D542X</v>
      </c>
      <c r="N85" s="8" t="s">
        <v>503</v>
      </c>
      <c r="O85" s="8" t="s">
        <v>295</v>
      </c>
      <c r="P85" s="9">
        <v>45371</v>
      </c>
      <c r="Q85" s="8" t="s">
        <v>37</v>
      </c>
      <c r="R85" s="8" t="s">
        <v>38</v>
      </c>
      <c r="S85" s="8" t="s">
        <v>39</v>
      </c>
      <c r="T85" s="8"/>
      <c r="U85" s="8" t="s">
        <v>40</v>
      </c>
      <c r="V85" s="8" t="s">
        <v>504</v>
      </c>
      <c r="W85" s="8" t="s">
        <v>505</v>
      </c>
      <c r="X85" s="8" t="s">
        <v>506</v>
      </c>
      <c r="Y85" s="8" t="s">
        <v>507</v>
      </c>
      <c r="Z85" s="8" t="s">
        <v>45</v>
      </c>
    </row>
    <row r="86" spans="1:26" ht="49.2" x14ac:dyDescent="0.3">
      <c r="A86" s="8" t="s">
        <v>27</v>
      </c>
      <c r="B86" s="8" t="s">
        <v>28</v>
      </c>
      <c r="C86" s="8" t="s">
        <v>29</v>
      </c>
      <c r="D86" s="8" t="s">
        <v>206</v>
      </c>
      <c r="E86" s="8" t="s">
        <v>76</v>
      </c>
      <c r="F86" s="8" t="s">
        <v>463</v>
      </c>
      <c r="G86" s="8">
        <v>2023</v>
      </c>
      <c r="H86" s="8" t="str">
        <f>CONCATENATE("34240469014")</f>
        <v>34240469014</v>
      </c>
      <c r="I86" s="8" t="s">
        <v>48</v>
      </c>
      <c r="J86" s="8" t="s">
        <v>34</v>
      </c>
      <c r="K86" s="8" t="str">
        <f t="shared" si="4"/>
        <v/>
      </c>
      <c r="L86" s="8" t="str">
        <f t="shared" si="5"/>
        <v>11 11.2 4b</v>
      </c>
      <c r="M86" s="8" t="str">
        <f>CONCATENATE("CRQLRT76H11D451U")</f>
        <v>CRQLRT76H11D451U</v>
      </c>
      <c r="N86" s="8" t="s">
        <v>508</v>
      </c>
      <c r="O86" s="8" t="s">
        <v>295</v>
      </c>
      <c r="P86" s="9">
        <v>45371</v>
      </c>
      <c r="Q86" s="8" t="s">
        <v>37</v>
      </c>
      <c r="R86" s="8" t="s">
        <v>38</v>
      </c>
      <c r="S86" s="8" t="s">
        <v>39</v>
      </c>
      <c r="T86" s="8"/>
      <c r="U86" s="8" t="s">
        <v>40</v>
      </c>
      <c r="V86" s="8" t="s">
        <v>509</v>
      </c>
      <c r="W86" s="8" t="s">
        <v>510</v>
      </c>
      <c r="X86" s="8" t="s">
        <v>511</v>
      </c>
      <c r="Y86" s="8" t="s">
        <v>512</v>
      </c>
      <c r="Z86" s="8" t="s">
        <v>45</v>
      </c>
    </row>
    <row r="87" spans="1:26" ht="49.2" x14ac:dyDescent="0.3">
      <c r="A87" s="8" t="s">
        <v>27</v>
      </c>
      <c r="B87" s="8" t="s">
        <v>28</v>
      </c>
      <c r="C87" s="8" t="s">
        <v>29</v>
      </c>
      <c r="D87" s="8" t="s">
        <v>30</v>
      </c>
      <c r="E87" s="8" t="s">
        <v>97</v>
      </c>
      <c r="F87" s="8" t="s">
        <v>169</v>
      </c>
      <c r="G87" s="8">
        <v>2023</v>
      </c>
      <c r="H87" s="8" t="str">
        <f>CONCATENATE("34240380732")</f>
        <v>34240380732</v>
      </c>
      <c r="I87" s="8" t="s">
        <v>48</v>
      </c>
      <c r="J87" s="8" t="s">
        <v>34</v>
      </c>
      <c r="K87" s="8" t="str">
        <f t="shared" si="4"/>
        <v/>
      </c>
      <c r="L87" s="8" t="str">
        <f t="shared" si="5"/>
        <v>11 11.2 4b</v>
      </c>
      <c r="M87" s="8" t="str">
        <f>CONCATENATE("BDRDYV62P64Z103W")</f>
        <v>BDRDYV62P64Z103W</v>
      </c>
      <c r="N87" s="8" t="s">
        <v>513</v>
      </c>
      <c r="O87" s="8" t="s">
        <v>295</v>
      </c>
      <c r="P87" s="9">
        <v>45371</v>
      </c>
      <c r="Q87" s="8" t="s">
        <v>37</v>
      </c>
      <c r="R87" s="8" t="s">
        <v>38</v>
      </c>
      <c r="S87" s="8" t="s">
        <v>39</v>
      </c>
      <c r="T87" s="8"/>
      <c r="U87" s="8" t="s">
        <v>40</v>
      </c>
      <c r="V87" s="8" t="s">
        <v>514</v>
      </c>
      <c r="W87" s="8" t="s">
        <v>486</v>
      </c>
      <c r="X87" s="8" t="s">
        <v>515</v>
      </c>
      <c r="Y87" s="8" t="s">
        <v>516</v>
      </c>
      <c r="Z87" s="8" t="s">
        <v>45</v>
      </c>
    </row>
    <row r="88" spans="1:26" ht="49.2" x14ac:dyDescent="0.3">
      <c r="A88" s="8" t="s">
        <v>27</v>
      </c>
      <c r="B88" s="8" t="s">
        <v>28</v>
      </c>
      <c r="C88" s="8" t="s">
        <v>29</v>
      </c>
      <c r="D88" s="8" t="s">
        <v>206</v>
      </c>
      <c r="E88" s="8" t="s">
        <v>31</v>
      </c>
      <c r="F88" s="8" t="s">
        <v>517</v>
      </c>
      <c r="G88" s="8">
        <v>2023</v>
      </c>
      <c r="H88" s="8" t="str">
        <f>CONCATENATE("34240291863")</f>
        <v>34240291863</v>
      </c>
      <c r="I88" s="8" t="s">
        <v>48</v>
      </c>
      <c r="J88" s="8" t="s">
        <v>34</v>
      </c>
      <c r="K88" s="8" t="str">
        <f t="shared" si="4"/>
        <v/>
      </c>
      <c r="L88" s="8" t="str">
        <f t="shared" si="5"/>
        <v>11 11.2 4b</v>
      </c>
      <c r="M88" s="8" t="str">
        <f>CONCATENATE("GRSSLN88M04E388P")</f>
        <v>GRSSLN88M04E388P</v>
      </c>
      <c r="N88" s="8" t="s">
        <v>518</v>
      </c>
      <c r="O88" s="8" t="s">
        <v>295</v>
      </c>
      <c r="P88" s="9">
        <v>45371</v>
      </c>
      <c r="Q88" s="8" t="s">
        <v>37</v>
      </c>
      <c r="R88" s="8" t="s">
        <v>38</v>
      </c>
      <c r="S88" s="8" t="s">
        <v>39</v>
      </c>
      <c r="T88" s="8"/>
      <c r="U88" s="8" t="s">
        <v>40</v>
      </c>
      <c r="V88" s="8" t="s">
        <v>519</v>
      </c>
      <c r="W88" s="8" t="s">
        <v>520</v>
      </c>
      <c r="X88" s="8" t="s">
        <v>521</v>
      </c>
      <c r="Y88" s="8" t="s">
        <v>522</v>
      </c>
      <c r="Z88" s="8" t="s">
        <v>45</v>
      </c>
    </row>
    <row r="89" spans="1:26" ht="58.8" x14ac:dyDescent="0.3">
      <c r="A89" s="8" t="s">
        <v>27</v>
      </c>
      <c r="B89" s="8" t="s">
        <v>28</v>
      </c>
      <c r="C89" s="8" t="s">
        <v>29</v>
      </c>
      <c r="D89" s="8" t="s">
        <v>140</v>
      </c>
      <c r="E89" s="8" t="s">
        <v>97</v>
      </c>
      <c r="F89" s="8" t="s">
        <v>487</v>
      </c>
      <c r="G89" s="8">
        <v>2023</v>
      </c>
      <c r="H89" s="8" t="str">
        <f>CONCATENATE("34240237908")</f>
        <v>34240237908</v>
      </c>
      <c r="I89" s="8" t="s">
        <v>33</v>
      </c>
      <c r="J89" s="8" t="s">
        <v>34</v>
      </c>
      <c r="K89" s="8" t="str">
        <f t="shared" si="4"/>
        <v/>
      </c>
      <c r="L89" s="8" t="str">
        <f t="shared" si="5"/>
        <v>11 11.2 4b</v>
      </c>
      <c r="M89" s="8" t="str">
        <f>CONCATENATE("GMBLRA89D70L500K")</f>
        <v>GMBLRA89D70L500K</v>
      </c>
      <c r="N89" s="8" t="s">
        <v>523</v>
      </c>
      <c r="O89" s="8" t="s">
        <v>295</v>
      </c>
      <c r="P89" s="9">
        <v>45371</v>
      </c>
      <c r="Q89" s="8" t="s">
        <v>37</v>
      </c>
      <c r="R89" s="8" t="s">
        <v>38</v>
      </c>
      <c r="S89" s="8" t="s">
        <v>39</v>
      </c>
      <c r="T89" s="8"/>
      <c r="U89" s="8" t="s">
        <v>40</v>
      </c>
      <c r="V89" s="8" t="s">
        <v>524</v>
      </c>
      <c r="W89" s="8" t="s">
        <v>525</v>
      </c>
      <c r="X89" s="8" t="s">
        <v>526</v>
      </c>
      <c r="Y89" s="8" t="s">
        <v>527</v>
      </c>
      <c r="Z89" s="8" t="s">
        <v>45</v>
      </c>
    </row>
    <row r="90" spans="1:26" ht="58.8" x14ac:dyDescent="0.3">
      <c r="A90" s="8" t="s">
        <v>27</v>
      </c>
      <c r="B90" s="8" t="s">
        <v>28</v>
      </c>
      <c r="C90" s="8" t="s">
        <v>29</v>
      </c>
      <c r="D90" s="8" t="s">
        <v>140</v>
      </c>
      <c r="E90" s="8" t="s">
        <v>97</v>
      </c>
      <c r="F90" s="8" t="s">
        <v>487</v>
      </c>
      <c r="G90" s="8">
        <v>2023</v>
      </c>
      <c r="H90" s="8" t="str">
        <f>CONCATENATE("34240238047")</f>
        <v>34240238047</v>
      </c>
      <c r="I90" s="8" t="s">
        <v>33</v>
      </c>
      <c r="J90" s="8" t="s">
        <v>34</v>
      </c>
      <c r="K90" s="8" t="str">
        <f t="shared" si="4"/>
        <v/>
      </c>
      <c r="L90" s="8" t="str">
        <f t="shared" si="5"/>
        <v>11 11.2 4b</v>
      </c>
      <c r="M90" s="8" t="str">
        <f>CONCATENATE("GMBLRA89D70L500K")</f>
        <v>GMBLRA89D70L500K</v>
      </c>
      <c r="N90" s="8" t="s">
        <v>523</v>
      </c>
      <c r="O90" s="8" t="s">
        <v>295</v>
      </c>
      <c r="P90" s="9">
        <v>45371</v>
      </c>
      <c r="Q90" s="8" t="s">
        <v>37</v>
      </c>
      <c r="R90" s="8" t="s">
        <v>38</v>
      </c>
      <c r="S90" s="8" t="s">
        <v>39</v>
      </c>
      <c r="T90" s="8"/>
      <c r="U90" s="8" t="s">
        <v>40</v>
      </c>
      <c r="V90" s="8" t="s">
        <v>528</v>
      </c>
      <c r="W90" s="8" t="s">
        <v>529</v>
      </c>
      <c r="X90" s="8" t="s">
        <v>530</v>
      </c>
      <c r="Y90" s="8" t="s">
        <v>531</v>
      </c>
      <c r="Z90" s="8" t="s">
        <v>45</v>
      </c>
    </row>
    <row r="91" spans="1:26" ht="49.2" x14ac:dyDescent="0.3">
      <c r="A91" s="8" t="s">
        <v>27</v>
      </c>
      <c r="B91" s="8" t="s">
        <v>28</v>
      </c>
      <c r="C91" s="8" t="s">
        <v>29</v>
      </c>
      <c r="D91" s="8" t="s">
        <v>206</v>
      </c>
      <c r="E91" s="8" t="s">
        <v>317</v>
      </c>
      <c r="F91" s="8" t="s">
        <v>532</v>
      </c>
      <c r="G91" s="8">
        <v>2023</v>
      </c>
      <c r="H91" s="8" t="str">
        <f>CONCATENATE("34240504323")</f>
        <v>34240504323</v>
      </c>
      <c r="I91" s="8" t="s">
        <v>48</v>
      </c>
      <c r="J91" s="8" t="s">
        <v>34</v>
      </c>
      <c r="K91" s="8" t="str">
        <f t="shared" si="4"/>
        <v/>
      </c>
      <c r="L91" s="8" t="str">
        <f t="shared" si="5"/>
        <v>11 11.2 4b</v>
      </c>
      <c r="M91" s="8" t="str">
        <f>CONCATENATE("GSTPGV62C27A271V")</f>
        <v>GSTPGV62C27A271V</v>
      </c>
      <c r="N91" s="8" t="s">
        <v>533</v>
      </c>
      <c r="O91" s="8" t="s">
        <v>295</v>
      </c>
      <c r="P91" s="9">
        <v>45371</v>
      </c>
      <c r="Q91" s="8" t="s">
        <v>37</v>
      </c>
      <c r="R91" s="8" t="s">
        <v>38</v>
      </c>
      <c r="S91" s="8" t="s">
        <v>39</v>
      </c>
      <c r="T91" s="8"/>
      <c r="U91" s="8" t="s">
        <v>40</v>
      </c>
      <c r="V91" s="8" t="s">
        <v>534</v>
      </c>
      <c r="W91" s="8" t="s">
        <v>535</v>
      </c>
      <c r="X91" s="8" t="s">
        <v>536</v>
      </c>
      <c r="Y91" s="8" t="s">
        <v>537</v>
      </c>
      <c r="Z91" s="8" t="s">
        <v>45</v>
      </c>
    </row>
    <row r="92" spans="1:26" ht="30" x14ac:dyDescent="0.3">
      <c r="A92" s="8" t="s">
        <v>27</v>
      </c>
      <c r="B92" s="8" t="s">
        <v>28</v>
      </c>
      <c r="C92" s="8" t="s">
        <v>29</v>
      </c>
      <c r="D92" s="8" t="s">
        <v>206</v>
      </c>
      <c r="E92" s="8" t="s">
        <v>85</v>
      </c>
      <c r="F92" s="8" t="s">
        <v>85</v>
      </c>
      <c r="G92" s="8">
        <v>2023</v>
      </c>
      <c r="H92" s="8" t="str">
        <f>CONCATENATE("34240495993")</f>
        <v>34240495993</v>
      </c>
      <c r="I92" s="8" t="s">
        <v>48</v>
      </c>
      <c r="J92" s="8" t="s">
        <v>34</v>
      </c>
      <c r="K92" s="8" t="str">
        <f t="shared" si="4"/>
        <v/>
      </c>
      <c r="L92" s="8" t="str">
        <f t="shared" si="5"/>
        <v>11 11.2 4b</v>
      </c>
      <c r="M92" s="8" t="str">
        <f>CONCATENATE("01419970429")</f>
        <v>01419970429</v>
      </c>
      <c r="N92" s="8" t="s">
        <v>538</v>
      </c>
      <c r="O92" s="8" t="s">
        <v>295</v>
      </c>
      <c r="P92" s="9">
        <v>45371</v>
      </c>
      <c r="Q92" s="8" t="s">
        <v>37</v>
      </c>
      <c r="R92" s="8" t="s">
        <v>38</v>
      </c>
      <c r="S92" s="8" t="s">
        <v>39</v>
      </c>
      <c r="T92" s="8"/>
      <c r="U92" s="8" t="s">
        <v>40</v>
      </c>
      <c r="V92" s="8" t="s">
        <v>539</v>
      </c>
      <c r="W92" s="8" t="s">
        <v>540</v>
      </c>
      <c r="X92" s="8" t="s">
        <v>541</v>
      </c>
      <c r="Y92" s="8" t="s">
        <v>542</v>
      </c>
      <c r="Z92" s="8" t="s">
        <v>45</v>
      </c>
    </row>
    <row r="93" spans="1:26" ht="30" x14ac:dyDescent="0.3">
      <c r="A93" s="8" t="s">
        <v>27</v>
      </c>
      <c r="B93" s="8" t="s">
        <v>28</v>
      </c>
      <c r="C93" s="8" t="s">
        <v>29</v>
      </c>
      <c r="D93" s="8" t="s">
        <v>206</v>
      </c>
      <c r="E93" s="8" t="s">
        <v>46</v>
      </c>
      <c r="F93" s="8" t="s">
        <v>469</v>
      </c>
      <c r="G93" s="8">
        <v>2023</v>
      </c>
      <c r="H93" s="8" t="str">
        <f>CONCATENATE("34240068576")</f>
        <v>34240068576</v>
      </c>
      <c r="I93" s="8" t="s">
        <v>48</v>
      </c>
      <c r="J93" s="8" t="s">
        <v>34</v>
      </c>
      <c r="K93" s="8" t="str">
        <f t="shared" si="4"/>
        <v/>
      </c>
      <c r="L93" s="8" t="str">
        <f t="shared" si="5"/>
        <v>11 11.2 4b</v>
      </c>
      <c r="M93" s="8" t="str">
        <f>CONCATENATE("02227190424")</f>
        <v>02227190424</v>
      </c>
      <c r="N93" s="8" t="s">
        <v>543</v>
      </c>
      <c r="O93" s="8" t="s">
        <v>295</v>
      </c>
      <c r="P93" s="9">
        <v>45371</v>
      </c>
      <c r="Q93" s="8" t="s">
        <v>37</v>
      </c>
      <c r="R93" s="8" t="s">
        <v>38</v>
      </c>
      <c r="S93" s="8" t="s">
        <v>39</v>
      </c>
      <c r="T93" s="8"/>
      <c r="U93" s="8" t="s">
        <v>40</v>
      </c>
      <c r="V93" s="8" t="s">
        <v>544</v>
      </c>
      <c r="W93" s="8" t="s">
        <v>545</v>
      </c>
      <c r="X93" s="8" t="s">
        <v>546</v>
      </c>
      <c r="Y93" s="8" t="s">
        <v>547</v>
      </c>
      <c r="Z93" s="8" t="s">
        <v>45</v>
      </c>
    </row>
    <row r="94" spans="1:26" ht="49.2" x14ac:dyDescent="0.3">
      <c r="A94" s="8" t="s">
        <v>27</v>
      </c>
      <c r="B94" s="8" t="s">
        <v>28</v>
      </c>
      <c r="C94" s="8" t="s">
        <v>29</v>
      </c>
      <c r="D94" s="8" t="s">
        <v>206</v>
      </c>
      <c r="E94" s="8" t="s">
        <v>317</v>
      </c>
      <c r="F94" s="8" t="s">
        <v>532</v>
      </c>
      <c r="G94" s="8">
        <v>2023</v>
      </c>
      <c r="H94" s="8" t="str">
        <f>CONCATENATE("34240563162")</f>
        <v>34240563162</v>
      </c>
      <c r="I94" s="8" t="s">
        <v>48</v>
      </c>
      <c r="J94" s="8" t="s">
        <v>34</v>
      </c>
      <c r="K94" s="8" t="str">
        <f t="shared" si="4"/>
        <v/>
      </c>
      <c r="L94" s="8" t="str">
        <f t="shared" si="5"/>
        <v>11 11.2 4b</v>
      </c>
      <c r="M94" s="8" t="str">
        <f>CONCATENATE("JNNTTR80B22F205X")</f>
        <v>JNNTTR80B22F205X</v>
      </c>
      <c r="N94" s="8" t="s">
        <v>548</v>
      </c>
      <c r="O94" s="8" t="s">
        <v>295</v>
      </c>
      <c r="P94" s="9">
        <v>45371</v>
      </c>
      <c r="Q94" s="8" t="s">
        <v>37</v>
      </c>
      <c r="R94" s="8" t="s">
        <v>38</v>
      </c>
      <c r="S94" s="8" t="s">
        <v>39</v>
      </c>
      <c r="T94" s="8"/>
      <c r="U94" s="8" t="s">
        <v>40</v>
      </c>
      <c r="V94" s="8" t="s">
        <v>549</v>
      </c>
      <c r="W94" s="8" t="s">
        <v>550</v>
      </c>
      <c r="X94" s="8" t="s">
        <v>551</v>
      </c>
      <c r="Y94" s="8" t="s">
        <v>552</v>
      </c>
      <c r="Z94" s="8" t="s">
        <v>45</v>
      </c>
    </row>
    <row r="95" spans="1:26" ht="49.2" x14ac:dyDescent="0.3">
      <c r="A95" s="8" t="s">
        <v>27</v>
      </c>
      <c r="B95" s="8" t="s">
        <v>28</v>
      </c>
      <c r="C95" s="8" t="s">
        <v>29</v>
      </c>
      <c r="D95" s="8" t="s">
        <v>84</v>
      </c>
      <c r="E95" s="8" t="s">
        <v>85</v>
      </c>
      <c r="F95" s="8" t="s">
        <v>85</v>
      </c>
      <c r="G95" s="8">
        <v>2023</v>
      </c>
      <c r="H95" s="8" t="str">
        <f>CONCATENATE("34240073725")</f>
        <v>34240073725</v>
      </c>
      <c r="I95" s="8" t="s">
        <v>48</v>
      </c>
      <c r="J95" s="8" t="s">
        <v>34</v>
      </c>
      <c r="K95" s="8" t="str">
        <f t="shared" si="4"/>
        <v/>
      </c>
      <c r="L95" s="8" t="str">
        <f t="shared" si="5"/>
        <v>11 11.2 4b</v>
      </c>
      <c r="M95" s="8" t="str">
        <f>CONCATENATE("STRGCM77E09D542L")</f>
        <v>STRGCM77E09D542L</v>
      </c>
      <c r="N95" s="8" t="s">
        <v>553</v>
      </c>
      <c r="O95" s="8" t="s">
        <v>295</v>
      </c>
      <c r="P95" s="9">
        <v>45371</v>
      </c>
      <c r="Q95" s="8" t="s">
        <v>37</v>
      </c>
      <c r="R95" s="8" t="s">
        <v>38</v>
      </c>
      <c r="S95" s="8" t="s">
        <v>39</v>
      </c>
      <c r="T95" s="8"/>
      <c r="U95" s="8" t="s">
        <v>40</v>
      </c>
      <c r="V95" s="8" t="s">
        <v>554</v>
      </c>
      <c r="W95" s="8" t="s">
        <v>555</v>
      </c>
      <c r="X95" s="8" t="s">
        <v>556</v>
      </c>
      <c r="Y95" s="8" t="s">
        <v>557</v>
      </c>
      <c r="Z95" s="8" t="s">
        <v>45</v>
      </c>
    </row>
    <row r="96" spans="1:26" ht="30" x14ac:dyDescent="0.3">
      <c r="A96" s="8" t="s">
        <v>27</v>
      </c>
      <c r="B96" s="8" t="s">
        <v>28</v>
      </c>
      <c r="C96" s="8" t="s">
        <v>29</v>
      </c>
      <c r="D96" s="8" t="s">
        <v>206</v>
      </c>
      <c r="E96" s="8" t="s">
        <v>46</v>
      </c>
      <c r="F96" s="8" t="s">
        <v>469</v>
      </c>
      <c r="G96" s="8">
        <v>2023</v>
      </c>
      <c r="H96" s="8" t="str">
        <f>CONCATENATE("34240097765")</f>
        <v>34240097765</v>
      </c>
      <c r="I96" s="8" t="s">
        <v>48</v>
      </c>
      <c r="J96" s="8" t="s">
        <v>34</v>
      </c>
      <c r="K96" s="8" t="str">
        <f t="shared" si="4"/>
        <v/>
      </c>
      <c r="L96" s="8" t="str">
        <f t="shared" si="5"/>
        <v>11 11.2 4b</v>
      </c>
      <c r="M96" s="8" t="str">
        <f>CONCATENATE("02863280422")</f>
        <v>02863280422</v>
      </c>
      <c r="N96" s="8" t="s">
        <v>558</v>
      </c>
      <c r="O96" s="8" t="s">
        <v>295</v>
      </c>
      <c r="P96" s="9">
        <v>45371</v>
      </c>
      <c r="Q96" s="8" t="s">
        <v>37</v>
      </c>
      <c r="R96" s="8" t="s">
        <v>38</v>
      </c>
      <c r="S96" s="8" t="s">
        <v>39</v>
      </c>
      <c r="T96" s="8"/>
      <c r="U96" s="8" t="s">
        <v>40</v>
      </c>
      <c r="V96" s="8" t="s">
        <v>559</v>
      </c>
      <c r="W96" s="8" t="s">
        <v>560</v>
      </c>
      <c r="X96" s="8" t="s">
        <v>561</v>
      </c>
      <c r="Y96" s="8" t="s">
        <v>562</v>
      </c>
      <c r="Z96" s="8" t="s">
        <v>45</v>
      </c>
    </row>
    <row r="97" spans="1:26" ht="49.2" x14ac:dyDescent="0.3">
      <c r="A97" s="8" t="s">
        <v>27</v>
      </c>
      <c r="B97" s="8" t="s">
        <v>28</v>
      </c>
      <c r="C97" s="8" t="s">
        <v>29</v>
      </c>
      <c r="D97" s="8" t="s">
        <v>140</v>
      </c>
      <c r="E97" s="8" t="s">
        <v>31</v>
      </c>
      <c r="F97" s="8" t="s">
        <v>381</v>
      </c>
      <c r="G97" s="8">
        <v>2023</v>
      </c>
      <c r="H97" s="8" t="str">
        <f>CONCATENATE("34240529874")</f>
        <v>34240529874</v>
      </c>
      <c r="I97" s="8" t="s">
        <v>48</v>
      </c>
      <c r="J97" s="8" t="s">
        <v>34</v>
      </c>
      <c r="K97" s="8" t="str">
        <f t="shared" si="4"/>
        <v/>
      </c>
      <c r="L97" s="8" t="str">
        <f t="shared" si="5"/>
        <v>11 11.2 4b</v>
      </c>
      <c r="M97" s="8" t="str">
        <f>CONCATENATE("BCCFRZ62A30A327P")</f>
        <v>BCCFRZ62A30A327P</v>
      </c>
      <c r="N97" s="8" t="s">
        <v>563</v>
      </c>
      <c r="O97" s="8" t="s">
        <v>295</v>
      </c>
      <c r="P97" s="9">
        <v>45371</v>
      </c>
      <c r="Q97" s="8" t="s">
        <v>37</v>
      </c>
      <c r="R97" s="8" t="s">
        <v>38</v>
      </c>
      <c r="S97" s="8" t="s">
        <v>39</v>
      </c>
      <c r="T97" s="8"/>
      <c r="U97" s="8" t="s">
        <v>40</v>
      </c>
      <c r="V97" s="8" t="s">
        <v>564</v>
      </c>
      <c r="W97" s="8" t="s">
        <v>565</v>
      </c>
      <c r="X97" s="8" t="s">
        <v>566</v>
      </c>
      <c r="Y97" s="8" t="s">
        <v>567</v>
      </c>
      <c r="Z97" s="8" t="s">
        <v>45</v>
      </c>
    </row>
    <row r="98" spans="1:26" ht="58.8" x14ac:dyDescent="0.3">
      <c r="A98" s="8" t="s">
        <v>27</v>
      </c>
      <c r="B98" s="8" t="s">
        <v>28</v>
      </c>
      <c r="C98" s="8" t="s">
        <v>29</v>
      </c>
      <c r="D98" s="8" t="s">
        <v>30</v>
      </c>
      <c r="E98" s="8" t="s">
        <v>31</v>
      </c>
      <c r="F98" s="8" t="s">
        <v>64</v>
      </c>
      <c r="G98" s="8">
        <v>2023</v>
      </c>
      <c r="H98" s="8" t="str">
        <f>CONCATENATE("34210031141")</f>
        <v>34210031141</v>
      </c>
      <c r="I98" s="8" t="s">
        <v>48</v>
      </c>
      <c r="J98" s="8" t="s">
        <v>34</v>
      </c>
      <c r="K98" s="8" t="str">
        <f t="shared" si="4"/>
        <v/>
      </c>
      <c r="L98" s="8" t="str">
        <f>CONCATENATE("12 12.1 4a")</f>
        <v>12 12.1 4a</v>
      </c>
      <c r="M98" s="8" t="str">
        <f>CONCATENATE("RMDMRA66M03L501N")</f>
        <v>RMDMRA66M03L501N</v>
      </c>
      <c r="N98" s="8" t="s">
        <v>568</v>
      </c>
      <c r="O98" s="8" t="s">
        <v>569</v>
      </c>
      <c r="P98" s="9">
        <v>45371</v>
      </c>
      <c r="Q98" s="8" t="s">
        <v>37</v>
      </c>
      <c r="R98" s="8" t="s">
        <v>38</v>
      </c>
      <c r="S98" s="8" t="s">
        <v>39</v>
      </c>
      <c r="T98" s="8"/>
      <c r="U98" s="8" t="s">
        <v>40</v>
      </c>
      <c r="V98" s="8" t="s">
        <v>570</v>
      </c>
      <c r="W98" s="8" t="s">
        <v>571</v>
      </c>
      <c r="X98" s="8" t="s">
        <v>572</v>
      </c>
      <c r="Y98" s="8" t="s">
        <v>573</v>
      </c>
      <c r="Z98" s="8" t="s">
        <v>45</v>
      </c>
    </row>
    <row r="99" spans="1:26" ht="30" x14ac:dyDescent="0.3">
      <c r="A99" s="8" t="s">
        <v>27</v>
      </c>
      <c r="B99" s="8" t="s">
        <v>28</v>
      </c>
      <c r="C99" s="8" t="s">
        <v>29</v>
      </c>
      <c r="D99" s="8" t="s">
        <v>140</v>
      </c>
      <c r="E99" s="8" t="s">
        <v>31</v>
      </c>
      <c r="F99" s="8" t="s">
        <v>289</v>
      </c>
      <c r="G99" s="8">
        <v>2023</v>
      </c>
      <c r="H99" s="8" t="str">
        <f>CONCATENATE("34210047659")</f>
        <v>34210047659</v>
      </c>
      <c r="I99" s="8" t="s">
        <v>48</v>
      </c>
      <c r="J99" s="8" t="s">
        <v>34</v>
      </c>
      <c r="K99" s="8" t="str">
        <f t="shared" si="4"/>
        <v/>
      </c>
      <c r="L99" s="8" t="str">
        <f>CONCATENATE("13 13.1 4a")</f>
        <v>13 13.1 4a</v>
      </c>
      <c r="M99" s="8" t="str">
        <f>CONCATENATE("02132080413")</f>
        <v>02132080413</v>
      </c>
      <c r="N99" s="8" t="s">
        <v>574</v>
      </c>
      <c r="O99" s="8" t="s">
        <v>261</v>
      </c>
      <c r="P99" s="9">
        <v>45371</v>
      </c>
      <c r="Q99" s="8" t="s">
        <v>37</v>
      </c>
      <c r="R99" s="8" t="s">
        <v>38</v>
      </c>
      <c r="S99" s="8" t="s">
        <v>39</v>
      </c>
      <c r="T99" s="8"/>
      <c r="U99" s="8" t="s">
        <v>40</v>
      </c>
      <c r="V99" s="8" t="s">
        <v>575</v>
      </c>
      <c r="W99" s="8" t="s">
        <v>576</v>
      </c>
      <c r="X99" s="8" t="s">
        <v>577</v>
      </c>
      <c r="Y99" s="8" t="s">
        <v>578</v>
      </c>
      <c r="Z99" s="8" t="s">
        <v>45</v>
      </c>
    </row>
    <row r="100" spans="1:26" ht="30" x14ac:dyDescent="0.3">
      <c r="A100" s="8" t="s">
        <v>27</v>
      </c>
      <c r="B100" s="8" t="s">
        <v>28</v>
      </c>
      <c r="C100" s="8" t="s">
        <v>29</v>
      </c>
      <c r="D100" s="8" t="s">
        <v>30</v>
      </c>
      <c r="E100" s="8" t="s">
        <v>31</v>
      </c>
      <c r="F100" s="8" t="s">
        <v>32</v>
      </c>
      <c r="G100" s="8">
        <v>2023</v>
      </c>
      <c r="H100" s="8" t="str">
        <f>CONCATENATE("34240517655")</f>
        <v>34240517655</v>
      </c>
      <c r="I100" s="8" t="s">
        <v>48</v>
      </c>
      <c r="J100" s="8" t="s">
        <v>34</v>
      </c>
      <c r="K100" s="8" t="str">
        <f t="shared" si="4"/>
        <v/>
      </c>
      <c r="L100" s="8" t="str">
        <f>CONCATENATE("11 11.2 4b")</f>
        <v>11 11.2 4b</v>
      </c>
      <c r="M100" s="8" t="str">
        <f>CONCATENATE("01644070433")</f>
        <v>01644070433</v>
      </c>
      <c r="N100" s="8" t="s">
        <v>579</v>
      </c>
      <c r="O100" s="8" t="s">
        <v>295</v>
      </c>
      <c r="P100" s="9">
        <v>45371</v>
      </c>
      <c r="Q100" s="8" t="s">
        <v>37</v>
      </c>
      <c r="R100" s="8" t="s">
        <v>38</v>
      </c>
      <c r="S100" s="8" t="s">
        <v>39</v>
      </c>
      <c r="T100" s="8"/>
      <c r="U100" s="8" t="s">
        <v>40</v>
      </c>
      <c r="V100" s="8" t="s">
        <v>580</v>
      </c>
      <c r="W100" s="8" t="s">
        <v>581</v>
      </c>
      <c r="X100" s="8" t="s">
        <v>582</v>
      </c>
      <c r="Y100" s="8" t="s">
        <v>583</v>
      </c>
      <c r="Z100" s="8" t="s">
        <v>45</v>
      </c>
    </row>
    <row r="101" spans="1:26" ht="30" x14ac:dyDescent="0.3">
      <c r="A101" s="8" t="s">
        <v>27</v>
      </c>
      <c r="B101" s="8" t="s">
        <v>83</v>
      </c>
      <c r="C101" s="8" t="s">
        <v>29</v>
      </c>
      <c r="D101" s="8" t="s">
        <v>206</v>
      </c>
      <c r="E101" s="8" t="s">
        <v>85</v>
      </c>
      <c r="F101" s="8" t="s">
        <v>85</v>
      </c>
      <c r="G101" s="8">
        <v>2017</v>
      </c>
      <c r="H101" s="8" t="str">
        <f>CONCATENATE("44270041484")</f>
        <v>44270041484</v>
      </c>
      <c r="I101" s="8" t="s">
        <v>48</v>
      </c>
      <c r="J101" s="8" t="s">
        <v>34</v>
      </c>
      <c r="K101" s="8" t="str">
        <f t="shared" si="4"/>
        <v/>
      </c>
      <c r="L101" s="8" t="str">
        <f>CONCATENATE("2 2.1 2a")</f>
        <v>2 2.1 2a</v>
      </c>
      <c r="M101" s="8" t="str">
        <f>CONCATENATE("02858060425")</f>
        <v>02858060425</v>
      </c>
      <c r="N101" s="8" t="s">
        <v>584</v>
      </c>
      <c r="O101" s="8" t="s">
        <v>585</v>
      </c>
      <c r="P101" s="9">
        <v>45370</v>
      </c>
      <c r="Q101" s="8" t="s">
        <v>37</v>
      </c>
      <c r="R101" s="8" t="s">
        <v>249</v>
      </c>
      <c r="S101" s="8" t="s">
        <v>39</v>
      </c>
      <c r="T101" s="8"/>
      <c r="U101" s="8" t="s">
        <v>40</v>
      </c>
      <c r="V101" s="8" t="s">
        <v>586</v>
      </c>
      <c r="W101" s="8" t="s">
        <v>587</v>
      </c>
      <c r="X101" s="8" t="s">
        <v>588</v>
      </c>
      <c r="Y101" s="8" t="s">
        <v>589</v>
      </c>
      <c r="Z101" s="8" t="s">
        <v>45</v>
      </c>
    </row>
    <row r="102" spans="1:26" ht="30" x14ac:dyDescent="0.3">
      <c r="A102" s="8" t="s">
        <v>27</v>
      </c>
      <c r="B102" s="8" t="s">
        <v>83</v>
      </c>
      <c r="C102" s="8" t="s">
        <v>29</v>
      </c>
      <c r="D102" s="8" t="s">
        <v>206</v>
      </c>
      <c r="E102" s="8" t="s">
        <v>85</v>
      </c>
      <c r="F102" s="8" t="s">
        <v>85</v>
      </c>
      <c r="G102" s="8">
        <v>2017</v>
      </c>
      <c r="H102" s="8" t="str">
        <f>CONCATENATE("44270041476")</f>
        <v>44270041476</v>
      </c>
      <c r="I102" s="8" t="s">
        <v>48</v>
      </c>
      <c r="J102" s="8" t="s">
        <v>34</v>
      </c>
      <c r="K102" s="8" t="str">
        <f t="shared" si="4"/>
        <v/>
      </c>
      <c r="L102" s="8" t="str">
        <f>CONCATENATE("2 2.1 2a")</f>
        <v>2 2.1 2a</v>
      </c>
      <c r="M102" s="8" t="str">
        <f>CONCATENATE("02858060425")</f>
        <v>02858060425</v>
      </c>
      <c r="N102" s="8" t="s">
        <v>584</v>
      </c>
      <c r="O102" s="8" t="s">
        <v>585</v>
      </c>
      <c r="P102" s="9">
        <v>45370</v>
      </c>
      <c r="Q102" s="8" t="s">
        <v>37</v>
      </c>
      <c r="R102" s="8" t="s">
        <v>249</v>
      </c>
      <c r="S102" s="8" t="s">
        <v>39</v>
      </c>
      <c r="T102" s="8"/>
      <c r="U102" s="8" t="s">
        <v>40</v>
      </c>
      <c r="V102" s="8" t="s">
        <v>590</v>
      </c>
      <c r="W102" s="8" t="s">
        <v>591</v>
      </c>
      <c r="X102" s="8" t="s">
        <v>592</v>
      </c>
      <c r="Y102" s="8" t="s">
        <v>593</v>
      </c>
      <c r="Z102" s="8" t="s">
        <v>45</v>
      </c>
    </row>
    <row r="103" spans="1:26" ht="30" x14ac:dyDescent="0.3">
      <c r="A103" s="8" t="s">
        <v>27</v>
      </c>
      <c r="B103" s="8" t="s">
        <v>83</v>
      </c>
      <c r="C103" s="8" t="s">
        <v>29</v>
      </c>
      <c r="D103" s="8" t="s">
        <v>206</v>
      </c>
      <c r="E103" s="8" t="s">
        <v>85</v>
      </c>
      <c r="F103" s="8" t="s">
        <v>85</v>
      </c>
      <c r="G103" s="8">
        <v>2017</v>
      </c>
      <c r="H103" s="8" t="str">
        <f>CONCATENATE("44270043662")</f>
        <v>44270043662</v>
      </c>
      <c r="I103" s="8" t="s">
        <v>48</v>
      </c>
      <c r="J103" s="8" t="s">
        <v>34</v>
      </c>
      <c r="K103" s="8" t="str">
        <f t="shared" si="4"/>
        <v/>
      </c>
      <c r="L103" s="8" t="str">
        <f>CONCATENATE("1 1.1 2a")</f>
        <v>1 1.1 2a</v>
      </c>
      <c r="M103" s="8" t="str">
        <f>CONCATENATE("02051370423")</f>
        <v>02051370423</v>
      </c>
      <c r="N103" s="8" t="s">
        <v>207</v>
      </c>
      <c r="O103" s="8" t="s">
        <v>594</v>
      </c>
      <c r="P103" s="9">
        <v>45370</v>
      </c>
      <c r="Q103" s="8" t="s">
        <v>37</v>
      </c>
      <c r="R103" s="8" t="s">
        <v>38</v>
      </c>
      <c r="S103" s="8" t="s">
        <v>39</v>
      </c>
      <c r="T103" s="8"/>
      <c r="U103" s="8" t="s">
        <v>40</v>
      </c>
      <c r="V103" s="8" t="s">
        <v>595</v>
      </c>
      <c r="W103" s="8" t="s">
        <v>596</v>
      </c>
      <c r="X103" s="8" t="s">
        <v>597</v>
      </c>
      <c r="Y103" s="8" t="s">
        <v>598</v>
      </c>
      <c r="Z103" s="8" t="s">
        <v>45</v>
      </c>
    </row>
    <row r="104" spans="1:26" ht="58.8" x14ac:dyDescent="0.3">
      <c r="A104" s="8" t="s">
        <v>27</v>
      </c>
      <c r="B104" s="8" t="s">
        <v>28</v>
      </c>
      <c r="C104" s="8" t="s">
        <v>29</v>
      </c>
      <c r="D104" s="8" t="s">
        <v>84</v>
      </c>
      <c r="E104" s="8" t="s">
        <v>278</v>
      </c>
      <c r="F104" s="8" t="s">
        <v>279</v>
      </c>
      <c r="G104" s="8">
        <v>2023</v>
      </c>
      <c r="H104" s="8" t="str">
        <f>CONCATENATE("34210086442")</f>
        <v>34210086442</v>
      </c>
      <c r="I104" s="8" t="s">
        <v>48</v>
      </c>
      <c r="J104" s="8" t="s">
        <v>34</v>
      </c>
      <c r="K104" s="8" t="str">
        <f t="shared" si="4"/>
        <v/>
      </c>
      <c r="L104" s="8" t="str">
        <f>CONCATENATE("13 13.1 4a")</f>
        <v>13 13.1 4a</v>
      </c>
      <c r="M104" s="8" t="str">
        <f>CONCATENATE("PGNLCU84M16A462M")</f>
        <v>PGNLCU84M16A462M</v>
      </c>
      <c r="N104" s="8" t="s">
        <v>599</v>
      </c>
      <c r="O104" s="8" t="s">
        <v>261</v>
      </c>
      <c r="P104" s="9">
        <v>45371</v>
      </c>
      <c r="Q104" s="8" t="s">
        <v>37</v>
      </c>
      <c r="R104" s="8" t="s">
        <v>38</v>
      </c>
      <c r="S104" s="8" t="s">
        <v>39</v>
      </c>
      <c r="T104" s="8"/>
      <c r="U104" s="8" t="s">
        <v>40</v>
      </c>
      <c r="V104" s="8" t="s">
        <v>600</v>
      </c>
      <c r="W104" s="8" t="s">
        <v>601</v>
      </c>
      <c r="X104" s="8" t="s">
        <v>602</v>
      </c>
      <c r="Y104" s="8" t="s">
        <v>603</v>
      </c>
      <c r="Z104" s="8" t="s">
        <v>45</v>
      </c>
    </row>
    <row r="105" spans="1:26" ht="49.2" x14ac:dyDescent="0.3">
      <c r="A105" s="8" t="s">
        <v>27</v>
      </c>
      <c r="B105" s="8" t="s">
        <v>28</v>
      </c>
      <c r="C105" s="8" t="s">
        <v>29</v>
      </c>
      <c r="D105" s="8" t="s">
        <v>206</v>
      </c>
      <c r="E105" s="8" t="s">
        <v>31</v>
      </c>
      <c r="F105" s="8" t="s">
        <v>354</v>
      </c>
      <c r="G105" s="8">
        <v>2023</v>
      </c>
      <c r="H105" s="8" t="str">
        <f>CONCATENATE("34210074240")</f>
        <v>34210074240</v>
      </c>
      <c r="I105" s="8" t="s">
        <v>48</v>
      </c>
      <c r="J105" s="8" t="s">
        <v>34</v>
      </c>
      <c r="K105" s="8" t="str">
        <f t="shared" si="4"/>
        <v/>
      </c>
      <c r="L105" s="8" t="str">
        <f>CONCATENATE("13 13.1 4a")</f>
        <v>13 13.1 4a</v>
      </c>
      <c r="M105" s="8" t="str">
        <f>CONCATENATE("SCRDNC58E03I653P")</f>
        <v>SCRDNC58E03I653P</v>
      </c>
      <c r="N105" s="8" t="s">
        <v>604</v>
      </c>
      <c r="O105" s="8" t="s">
        <v>261</v>
      </c>
      <c r="P105" s="9">
        <v>45371</v>
      </c>
      <c r="Q105" s="8" t="s">
        <v>37</v>
      </c>
      <c r="R105" s="8" t="s">
        <v>38</v>
      </c>
      <c r="S105" s="8" t="s">
        <v>39</v>
      </c>
      <c r="T105" s="8"/>
      <c r="U105" s="8" t="s">
        <v>40</v>
      </c>
      <c r="V105" s="8" t="s">
        <v>605</v>
      </c>
      <c r="W105" s="8" t="s">
        <v>606</v>
      </c>
      <c r="X105" s="8" t="s">
        <v>607</v>
      </c>
      <c r="Y105" s="8" t="s">
        <v>608</v>
      </c>
      <c r="Z105" s="8" t="s">
        <v>45</v>
      </c>
    </row>
    <row r="106" spans="1:26" ht="49.2" x14ac:dyDescent="0.3">
      <c r="A106" s="8" t="s">
        <v>27</v>
      </c>
      <c r="B106" s="8" t="s">
        <v>28</v>
      </c>
      <c r="C106" s="8" t="s">
        <v>29</v>
      </c>
      <c r="D106" s="8" t="s">
        <v>140</v>
      </c>
      <c r="E106" s="8" t="s">
        <v>31</v>
      </c>
      <c r="F106" s="8" t="s">
        <v>381</v>
      </c>
      <c r="G106" s="8">
        <v>2023</v>
      </c>
      <c r="H106" s="8" t="str">
        <f>CONCATENATE("34210060470")</f>
        <v>34210060470</v>
      </c>
      <c r="I106" s="8" t="s">
        <v>48</v>
      </c>
      <c r="J106" s="8" t="s">
        <v>34</v>
      </c>
      <c r="K106" s="8" t="str">
        <f t="shared" si="4"/>
        <v/>
      </c>
      <c r="L106" s="8" t="str">
        <f>CONCATENATE("13 13.1 4a")</f>
        <v>13 13.1 4a</v>
      </c>
      <c r="M106" s="8" t="str">
        <f>CONCATENATE("RCDPTR44D18G376I")</f>
        <v>RCDPTR44D18G376I</v>
      </c>
      <c r="N106" s="8" t="s">
        <v>609</v>
      </c>
      <c r="O106" s="8" t="s">
        <v>261</v>
      </c>
      <c r="P106" s="9">
        <v>45371</v>
      </c>
      <c r="Q106" s="8" t="s">
        <v>37</v>
      </c>
      <c r="R106" s="8" t="s">
        <v>38</v>
      </c>
      <c r="S106" s="8" t="s">
        <v>39</v>
      </c>
      <c r="T106" s="8"/>
      <c r="U106" s="8" t="s">
        <v>40</v>
      </c>
      <c r="V106" s="8" t="s">
        <v>610</v>
      </c>
      <c r="W106" s="8" t="s">
        <v>611</v>
      </c>
      <c r="X106" s="8" t="s">
        <v>612</v>
      </c>
      <c r="Y106" s="8" t="s">
        <v>613</v>
      </c>
      <c r="Z106" s="8" t="s">
        <v>45</v>
      </c>
    </row>
    <row r="107" spans="1:26" ht="49.2" x14ac:dyDescent="0.3">
      <c r="A107" s="8" t="s">
        <v>27</v>
      </c>
      <c r="B107" s="8" t="s">
        <v>28</v>
      </c>
      <c r="C107" s="8" t="s">
        <v>29</v>
      </c>
      <c r="D107" s="8" t="s">
        <v>140</v>
      </c>
      <c r="E107" s="8" t="s">
        <v>31</v>
      </c>
      <c r="F107" s="8" t="s">
        <v>289</v>
      </c>
      <c r="G107" s="8">
        <v>2023</v>
      </c>
      <c r="H107" s="8" t="str">
        <f>CONCATENATE("34210048475")</f>
        <v>34210048475</v>
      </c>
      <c r="I107" s="8" t="s">
        <v>48</v>
      </c>
      <c r="J107" s="8" t="s">
        <v>34</v>
      </c>
      <c r="K107" s="8" t="str">
        <f t="shared" si="4"/>
        <v/>
      </c>
      <c r="L107" s="8" t="str">
        <f>CONCATENATE("13 13.1 4a")</f>
        <v>13 13.1 4a</v>
      </c>
      <c r="M107" s="8" t="str">
        <f>CONCATENATE("GDCMRA63P23G453W")</f>
        <v>GDCMRA63P23G453W</v>
      </c>
      <c r="N107" s="8" t="s">
        <v>614</v>
      </c>
      <c r="O107" s="8" t="s">
        <v>261</v>
      </c>
      <c r="P107" s="9">
        <v>45371</v>
      </c>
      <c r="Q107" s="8" t="s">
        <v>37</v>
      </c>
      <c r="R107" s="8" t="s">
        <v>38</v>
      </c>
      <c r="S107" s="8" t="s">
        <v>39</v>
      </c>
      <c r="T107" s="8"/>
      <c r="U107" s="8" t="s">
        <v>40</v>
      </c>
      <c r="V107" s="8" t="s">
        <v>615</v>
      </c>
      <c r="W107" s="8" t="s">
        <v>616</v>
      </c>
      <c r="X107" s="8" t="s">
        <v>617</v>
      </c>
      <c r="Y107" s="8" t="s">
        <v>618</v>
      </c>
      <c r="Z107" s="8" t="s">
        <v>45</v>
      </c>
    </row>
    <row r="108" spans="1:26" ht="49.2" x14ac:dyDescent="0.3">
      <c r="A108" s="8" t="s">
        <v>27</v>
      </c>
      <c r="B108" s="8" t="s">
        <v>28</v>
      </c>
      <c r="C108" s="8" t="s">
        <v>29</v>
      </c>
      <c r="D108" s="8" t="s">
        <v>206</v>
      </c>
      <c r="E108" s="8" t="s">
        <v>76</v>
      </c>
      <c r="F108" s="8" t="s">
        <v>77</v>
      </c>
      <c r="G108" s="8">
        <v>2023</v>
      </c>
      <c r="H108" s="8" t="str">
        <f>CONCATENATE("34240002393")</f>
        <v>34240002393</v>
      </c>
      <c r="I108" s="8" t="s">
        <v>48</v>
      </c>
      <c r="J108" s="8" t="s">
        <v>34</v>
      </c>
      <c r="K108" s="8" t="str">
        <f t="shared" si="4"/>
        <v/>
      </c>
      <c r="L108" s="8" t="str">
        <f>CONCATENATE("11 11.2 4b")</f>
        <v>11 11.2 4b</v>
      </c>
      <c r="M108" s="8" t="str">
        <f>CONCATENATE("LCCRNT71B06I653F")</f>
        <v>LCCRNT71B06I653F</v>
      </c>
      <c r="N108" s="8" t="s">
        <v>619</v>
      </c>
      <c r="O108" s="8" t="s">
        <v>295</v>
      </c>
      <c r="P108" s="9">
        <v>45371</v>
      </c>
      <c r="Q108" s="8" t="s">
        <v>37</v>
      </c>
      <c r="R108" s="8" t="s">
        <v>38</v>
      </c>
      <c r="S108" s="8" t="s">
        <v>39</v>
      </c>
      <c r="T108" s="8"/>
      <c r="U108" s="8" t="s">
        <v>40</v>
      </c>
      <c r="V108" s="8" t="s">
        <v>620</v>
      </c>
      <c r="W108" s="8" t="s">
        <v>621</v>
      </c>
      <c r="X108" s="8" t="s">
        <v>622</v>
      </c>
      <c r="Y108" s="8" t="s">
        <v>623</v>
      </c>
      <c r="Z108" s="8" t="s">
        <v>45</v>
      </c>
    </row>
    <row r="109" spans="1:26" ht="49.2" x14ac:dyDescent="0.3">
      <c r="A109" s="8" t="s">
        <v>27</v>
      </c>
      <c r="B109" s="8" t="s">
        <v>28</v>
      </c>
      <c r="C109" s="8" t="s">
        <v>29</v>
      </c>
      <c r="D109" s="8" t="s">
        <v>140</v>
      </c>
      <c r="E109" s="8" t="s">
        <v>97</v>
      </c>
      <c r="F109" s="8" t="s">
        <v>259</v>
      </c>
      <c r="G109" s="8">
        <v>2023</v>
      </c>
      <c r="H109" s="8" t="str">
        <f>CONCATENATE("34240292028")</f>
        <v>34240292028</v>
      </c>
      <c r="I109" s="8" t="s">
        <v>33</v>
      </c>
      <c r="J109" s="8" t="s">
        <v>34</v>
      </c>
      <c r="K109" s="8" t="str">
        <f t="shared" si="4"/>
        <v/>
      </c>
      <c r="L109" s="8" t="str">
        <f>CONCATENATE("11 11.2 4b")</f>
        <v>11 11.2 4b</v>
      </c>
      <c r="M109" s="8" t="str">
        <f>CONCATENATE("RCLLNZ74L07L500H")</f>
        <v>RCLLNZ74L07L500H</v>
      </c>
      <c r="N109" s="8" t="s">
        <v>624</v>
      </c>
      <c r="O109" s="8" t="s">
        <v>295</v>
      </c>
      <c r="P109" s="9">
        <v>45371</v>
      </c>
      <c r="Q109" s="8" t="s">
        <v>37</v>
      </c>
      <c r="R109" s="8" t="s">
        <v>38</v>
      </c>
      <c r="S109" s="8" t="s">
        <v>39</v>
      </c>
      <c r="T109" s="8"/>
      <c r="U109" s="8" t="s">
        <v>40</v>
      </c>
      <c r="V109" s="8" t="s">
        <v>625</v>
      </c>
      <c r="W109" s="8" t="s">
        <v>626</v>
      </c>
      <c r="X109" s="8" t="s">
        <v>627</v>
      </c>
      <c r="Y109" s="8" t="s">
        <v>628</v>
      </c>
      <c r="Z109" s="8" t="s">
        <v>45</v>
      </c>
    </row>
    <row r="110" spans="1:26" ht="49.2" x14ac:dyDescent="0.3">
      <c r="A110" s="8" t="s">
        <v>27</v>
      </c>
      <c r="B110" s="8" t="s">
        <v>28</v>
      </c>
      <c r="C110" s="8" t="s">
        <v>29</v>
      </c>
      <c r="D110" s="8" t="s">
        <v>140</v>
      </c>
      <c r="E110" s="8" t="s">
        <v>97</v>
      </c>
      <c r="F110" s="8" t="s">
        <v>259</v>
      </c>
      <c r="G110" s="8">
        <v>2023</v>
      </c>
      <c r="H110" s="8" t="str">
        <f>CONCATENATE("34240292432")</f>
        <v>34240292432</v>
      </c>
      <c r="I110" s="8" t="s">
        <v>33</v>
      </c>
      <c r="J110" s="8" t="s">
        <v>34</v>
      </c>
      <c r="K110" s="8" t="str">
        <f t="shared" si="4"/>
        <v/>
      </c>
      <c r="L110" s="8" t="str">
        <f>CONCATENATE("11 11.2 4b")</f>
        <v>11 11.2 4b</v>
      </c>
      <c r="M110" s="8" t="str">
        <f>CONCATENATE("RCLLNZ74L07L500H")</f>
        <v>RCLLNZ74L07L500H</v>
      </c>
      <c r="N110" s="8" t="s">
        <v>624</v>
      </c>
      <c r="O110" s="8" t="s">
        <v>295</v>
      </c>
      <c r="P110" s="9">
        <v>45371</v>
      </c>
      <c r="Q110" s="8" t="s">
        <v>37</v>
      </c>
      <c r="R110" s="8" t="s">
        <v>38</v>
      </c>
      <c r="S110" s="8" t="s">
        <v>39</v>
      </c>
      <c r="T110" s="8"/>
      <c r="U110" s="8" t="s">
        <v>40</v>
      </c>
      <c r="V110" s="8" t="s">
        <v>629</v>
      </c>
      <c r="W110" s="8" t="s">
        <v>630</v>
      </c>
      <c r="X110" s="8" t="s">
        <v>631</v>
      </c>
      <c r="Y110" s="8" t="s">
        <v>632</v>
      </c>
      <c r="Z110" s="8" t="s">
        <v>45</v>
      </c>
    </row>
    <row r="111" spans="1:26" ht="58.8" x14ac:dyDescent="0.3">
      <c r="A111" s="8" t="s">
        <v>27</v>
      </c>
      <c r="B111" s="8" t="s">
        <v>28</v>
      </c>
      <c r="C111" s="8" t="s">
        <v>29</v>
      </c>
      <c r="D111" s="8" t="s">
        <v>140</v>
      </c>
      <c r="E111" s="8" t="s">
        <v>31</v>
      </c>
      <c r="F111" s="8" t="s">
        <v>381</v>
      </c>
      <c r="G111" s="8">
        <v>2023</v>
      </c>
      <c r="H111" s="8" t="str">
        <f>CONCATENATE("34210027867")</f>
        <v>34210027867</v>
      </c>
      <c r="I111" s="8" t="s">
        <v>48</v>
      </c>
      <c r="J111" s="8" t="s">
        <v>34</v>
      </c>
      <c r="K111" s="8" t="str">
        <f t="shared" si="4"/>
        <v/>
      </c>
      <c r="L111" s="8" t="str">
        <f>CONCATENATE("13 13.1 4a")</f>
        <v>13 13.1 4a</v>
      </c>
      <c r="M111" s="8" t="str">
        <f>CONCATENATE("DLRRRT51B06G479M")</f>
        <v>DLRRRT51B06G479M</v>
      </c>
      <c r="N111" s="8" t="s">
        <v>633</v>
      </c>
      <c r="O111" s="8" t="s">
        <v>261</v>
      </c>
      <c r="P111" s="9">
        <v>45371</v>
      </c>
      <c r="Q111" s="8" t="s">
        <v>37</v>
      </c>
      <c r="R111" s="8" t="s">
        <v>38</v>
      </c>
      <c r="S111" s="8" t="s">
        <v>39</v>
      </c>
      <c r="T111" s="8"/>
      <c r="U111" s="8" t="s">
        <v>40</v>
      </c>
      <c r="V111" s="8" t="s">
        <v>634</v>
      </c>
      <c r="W111" s="8" t="s">
        <v>635</v>
      </c>
      <c r="X111" s="8" t="s">
        <v>636</v>
      </c>
      <c r="Y111" s="8" t="s">
        <v>637</v>
      </c>
      <c r="Z111" s="8" t="s">
        <v>45</v>
      </c>
    </row>
    <row r="112" spans="1:26" ht="30" x14ac:dyDescent="0.3">
      <c r="A112" s="8" t="s">
        <v>27</v>
      </c>
      <c r="B112" s="8" t="s">
        <v>28</v>
      </c>
      <c r="C112" s="8" t="s">
        <v>29</v>
      </c>
      <c r="D112" s="8" t="s">
        <v>140</v>
      </c>
      <c r="E112" s="8" t="s">
        <v>31</v>
      </c>
      <c r="F112" s="8" t="s">
        <v>638</v>
      </c>
      <c r="G112" s="8">
        <v>2023</v>
      </c>
      <c r="H112" s="8" t="str">
        <f>CONCATENATE("34210010996")</f>
        <v>34210010996</v>
      </c>
      <c r="I112" s="8" t="s">
        <v>48</v>
      </c>
      <c r="J112" s="8" t="s">
        <v>34</v>
      </c>
      <c r="K112" s="8" t="str">
        <f t="shared" si="4"/>
        <v/>
      </c>
      <c r="L112" s="8" t="str">
        <f>CONCATENATE("13 13.1 4a")</f>
        <v>13 13.1 4a</v>
      </c>
      <c r="M112" s="8" t="str">
        <f>CONCATENATE("00409240413")</f>
        <v>00409240413</v>
      </c>
      <c r="N112" s="8" t="s">
        <v>639</v>
      </c>
      <c r="O112" s="8" t="s">
        <v>261</v>
      </c>
      <c r="P112" s="9">
        <v>45371</v>
      </c>
      <c r="Q112" s="8" t="s">
        <v>37</v>
      </c>
      <c r="R112" s="8" t="s">
        <v>38</v>
      </c>
      <c r="S112" s="8" t="s">
        <v>39</v>
      </c>
      <c r="T112" s="8"/>
      <c r="U112" s="8" t="s">
        <v>40</v>
      </c>
      <c r="V112" s="8" t="s">
        <v>640</v>
      </c>
      <c r="W112" s="8" t="s">
        <v>641</v>
      </c>
      <c r="X112" s="8" t="s">
        <v>642</v>
      </c>
      <c r="Y112" s="8" t="s">
        <v>643</v>
      </c>
      <c r="Z112" s="8" t="s">
        <v>45</v>
      </c>
    </row>
    <row r="113" spans="1:26" ht="30" x14ac:dyDescent="0.3">
      <c r="A113" s="8" t="s">
        <v>27</v>
      </c>
      <c r="B113" s="8" t="s">
        <v>28</v>
      </c>
      <c r="C113" s="8" t="s">
        <v>29</v>
      </c>
      <c r="D113" s="8" t="s">
        <v>140</v>
      </c>
      <c r="E113" s="8" t="s">
        <v>76</v>
      </c>
      <c r="F113" s="8" t="s">
        <v>272</v>
      </c>
      <c r="G113" s="8">
        <v>2023</v>
      </c>
      <c r="H113" s="8" t="str">
        <f>CONCATENATE("34210081187")</f>
        <v>34210081187</v>
      </c>
      <c r="I113" s="8" t="s">
        <v>48</v>
      </c>
      <c r="J113" s="8" t="s">
        <v>34</v>
      </c>
      <c r="K113" s="8" t="str">
        <f t="shared" si="4"/>
        <v/>
      </c>
      <c r="L113" s="8" t="str">
        <f>CONCATENATE("13 13.1 4a")</f>
        <v>13 13.1 4a</v>
      </c>
      <c r="M113" s="8" t="str">
        <f>CONCATENATE("01103310411")</f>
        <v>01103310411</v>
      </c>
      <c r="N113" s="8" t="s">
        <v>644</v>
      </c>
      <c r="O113" s="8" t="s">
        <v>261</v>
      </c>
      <c r="P113" s="9">
        <v>45371</v>
      </c>
      <c r="Q113" s="8" t="s">
        <v>37</v>
      </c>
      <c r="R113" s="8" t="s">
        <v>38</v>
      </c>
      <c r="S113" s="8" t="s">
        <v>39</v>
      </c>
      <c r="T113" s="8"/>
      <c r="U113" s="8" t="s">
        <v>40</v>
      </c>
      <c r="V113" s="8" t="s">
        <v>645</v>
      </c>
      <c r="W113" s="8" t="s">
        <v>646</v>
      </c>
      <c r="X113" s="8" t="s">
        <v>647</v>
      </c>
      <c r="Y113" s="8" t="s">
        <v>648</v>
      </c>
      <c r="Z113" s="8" t="s">
        <v>45</v>
      </c>
    </row>
    <row r="114" spans="1:26" ht="30" x14ac:dyDescent="0.3">
      <c r="A114" s="8" t="s">
        <v>27</v>
      </c>
      <c r="B114" s="8" t="s">
        <v>28</v>
      </c>
      <c r="C114" s="8" t="s">
        <v>29</v>
      </c>
      <c r="D114" s="8" t="s">
        <v>140</v>
      </c>
      <c r="E114" s="8" t="s">
        <v>97</v>
      </c>
      <c r="F114" s="8" t="s">
        <v>487</v>
      </c>
      <c r="G114" s="8">
        <v>2023</v>
      </c>
      <c r="H114" s="8" t="str">
        <f>CONCATENATE("34210052477")</f>
        <v>34210052477</v>
      </c>
      <c r="I114" s="8" t="s">
        <v>48</v>
      </c>
      <c r="J114" s="8" t="s">
        <v>34</v>
      </c>
      <c r="K114" s="8" t="str">
        <f t="shared" si="4"/>
        <v/>
      </c>
      <c r="L114" s="8" t="str">
        <f>CONCATENATE("13 13.1 4a")</f>
        <v>13 13.1 4a</v>
      </c>
      <c r="M114" s="8" t="str">
        <f>CONCATENATE("02453800415")</f>
        <v>02453800415</v>
      </c>
      <c r="N114" s="8" t="s">
        <v>649</v>
      </c>
      <c r="O114" s="8" t="s">
        <v>261</v>
      </c>
      <c r="P114" s="9">
        <v>45371</v>
      </c>
      <c r="Q114" s="8" t="s">
        <v>37</v>
      </c>
      <c r="R114" s="8" t="s">
        <v>38</v>
      </c>
      <c r="S114" s="8" t="s">
        <v>39</v>
      </c>
      <c r="T114" s="8"/>
      <c r="U114" s="8" t="s">
        <v>40</v>
      </c>
      <c r="V114" s="8" t="s">
        <v>650</v>
      </c>
      <c r="W114" s="8" t="s">
        <v>651</v>
      </c>
      <c r="X114" s="8" t="s">
        <v>652</v>
      </c>
      <c r="Y114" s="8" t="s">
        <v>653</v>
      </c>
      <c r="Z114" s="8" t="s">
        <v>45</v>
      </c>
    </row>
    <row r="115" spans="1:26" ht="49.2" x14ac:dyDescent="0.3">
      <c r="A115" s="8" t="s">
        <v>27</v>
      </c>
      <c r="B115" s="8" t="s">
        <v>28</v>
      </c>
      <c r="C115" s="8" t="s">
        <v>29</v>
      </c>
      <c r="D115" s="8" t="s">
        <v>140</v>
      </c>
      <c r="E115" s="8" t="s">
        <v>97</v>
      </c>
      <c r="F115" s="8" t="s">
        <v>487</v>
      </c>
      <c r="G115" s="8">
        <v>2023</v>
      </c>
      <c r="H115" s="8" t="str">
        <f>CONCATENATE("34210072392")</f>
        <v>34210072392</v>
      </c>
      <c r="I115" s="8" t="s">
        <v>33</v>
      </c>
      <c r="J115" s="8" t="s">
        <v>34</v>
      </c>
      <c r="K115" s="8" t="str">
        <f t="shared" si="4"/>
        <v/>
      </c>
      <c r="L115" s="8" t="str">
        <f>CONCATENATE("13 13.1 4a")</f>
        <v>13 13.1 4a</v>
      </c>
      <c r="M115" s="8" t="str">
        <f>CONCATENATE("GMBMRZ60C28L50LL")</f>
        <v>GMBMRZ60C28L50LL</v>
      </c>
      <c r="N115" s="8" t="s">
        <v>654</v>
      </c>
      <c r="O115" s="8" t="s">
        <v>261</v>
      </c>
      <c r="P115" s="9">
        <v>45371</v>
      </c>
      <c r="Q115" s="8" t="s">
        <v>37</v>
      </c>
      <c r="R115" s="8" t="s">
        <v>38</v>
      </c>
      <c r="S115" s="8" t="s">
        <v>39</v>
      </c>
      <c r="T115" s="8"/>
      <c r="U115" s="8" t="s">
        <v>40</v>
      </c>
      <c r="V115" s="8" t="s">
        <v>655</v>
      </c>
      <c r="W115" s="8" t="s">
        <v>656</v>
      </c>
      <c r="X115" s="8" t="s">
        <v>657</v>
      </c>
      <c r="Y115" s="8" t="s">
        <v>658</v>
      </c>
      <c r="Z115" s="8" t="s">
        <v>45</v>
      </c>
    </row>
    <row r="116" spans="1:26" ht="49.2" x14ac:dyDescent="0.3">
      <c r="A116" s="8" t="s">
        <v>27</v>
      </c>
      <c r="B116" s="8" t="s">
        <v>28</v>
      </c>
      <c r="C116" s="8" t="s">
        <v>29</v>
      </c>
      <c r="D116" s="8" t="s">
        <v>140</v>
      </c>
      <c r="E116" s="8" t="s">
        <v>97</v>
      </c>
      <c r="F116" s="8" t="s">
        <v>487</v>
      </c>
      <c r="G116" s="8">
        <v>2023</v>
      </c>
      <c r="H116" s="8" t="str">
        <f>CONCATENATE("34240351907")</f>
        <v>34240351907</v>
      </c>
      <c r="I116" s="8" t="s">
        <v>33</v>
      </c>
      <c r="J116" s="8" t="s">
        <v>34</v>
      </c>
      <c r="K116" s="8" t="str">
        <f t="shared" si="4"/>
        <v/>
      </c>
      <c r="L116" s="8" t="str">
        <f>CONCATENATE("11 11.2 4b")</f>
        <v>11 11.2 4b</v>
      </c>
      <c r="M116" s="8" t="str">
        <f>CONCATENATE("GMBMRZ60C28L50LL")</f>
        <v>GMBMRZ60C28L50LL</v>
      </c>
      <c r="N116" s="8" t="s">
        <v>654</v>
      </c>
      <c r="O116" s="8" t="s">
        <v>295</v>
      </c>
      <c r="P116" s="9">
        <v>45371</v>
      </c>
      <c r="Q116" s="8" t="s">
        <v>37</v>
      </c>
      <c r="R116" s="8" t="s">
        <v>38</v>
      </c>
      <c r="S116" s="8" t="s">
        <v>39</v>
      </c>
      <c r="T116" s="8"/>
      <c r="U116" s="8" t="s">
        <v>40</v>
      </c>
      <c r="V116" s="8" t="s">
        <v>659</v>
      </c>
      <c r="W116" s="8" t="s">
        <v>660</v>
      </c>
      <c r="X116" s="8" t="s">
        <v>661</v>
      </c>
      <c r="Y116" s="8" t="s">
        <v>662</v>
      </c>
      <c r="Z116" s="8" t="s">
        <v>45</v>
      </c>
    </row>
    <row r="117" spans="1:26" ht="49.2" x14ac:dyDescent="0.3">
      <c r="A117" s="8" t="s">
        <v>27</v>
      </c>
      <c r="B117" s="8" t="s">
        <v>28</v>
      </c>
      <c r="C117" s="8" t="s">
        <v>29</v>
      </c>
      <c r="D117" s="8" t="s">
        <v>140</v>
      </c>
      <c r="E117" s="8" t="s">
        <v>31</v>
      </c>
      <c r="F117" s="8" t="s">
        <v>330</v>
      </c>
      <c r="G117" s="8">
        <v>2016</v>
      </c>
      <c r="H117" s="8" t="str">
        <f>CONCATENATE("64211150368")</f>
        <v>64211150368</v>
      </c>
      <c r="I117" s="8" t="s">
        <v>48</v>
      </c>
      <c r="J117" s="8" t="s">
        <v>34</v>
      </c>
      <c r="K117" s="8" t="str">
        <f t="shared" si="4"/>
        <v/>
      </c>
      <c r="L117" s="8" t="str">
        <f t="shared" ref="L117:L122" si="6">CONCATENATE("13 13.1 4a")</f>
        <v>13 13.1 4a</v>
      </c>
      <c r="M117" s="8" t="str">
        <f>CONCATENATE("BNCMRC66T17L500O")</f>
        <v>BNCMRC66T17L500O</v>
      </c>
      <c r="N117" s="8" t="s">
        <v>663</v>
      </c>
      <c r="O117" s="8" t="s">
        <v>261</v>
      </c>
      <c r="P117" s="9">
        <v>45371</v>
      </c>
      <c r="Q117" s="8" t="s">
        <v>37</v>
      </c>
      <c r="R117" s="8" t="s">
        <v>38</v>
      </c>
      <c r="S117" s="8" t="s">
        <v>39</v>
      </c>
      <c r="T117" s="8"/>
      <c r="U117" s="8" t="s">
        <v>40</v>
      </c>
      <c r="V117" s="8" t="s">
        <v>664</v>
      </c>
      <c r="W117" s="8" t="s">
        <v>665</v>
      </c>
      <c r="X117" s="8" t="s">
        <v>666</v>
      </c>
      <c r="Y117" s="8" t="s">
        <v>667</v>
      </c>
      <c r="Z117" s="8" t="s">
        <v>45</v>
      </c>
    </row>
    <row r="118" spans="1:26" ht="49.2" x14ac:dyDescent="0.3">
      <c r="A118" s="8" t="s">
        <v>27</v>
      </c>
      <c r="B118" s="8" t="s">
        <v>28</v>
      </c>
      <c r="C118" s="8" t="s">
        <v>29</v>
      </c>
      <c r="D118" s="8" t="s">
        <v>140</v>
      </c>
      <c r="E118" s="8" t="s">
        <v>76</v>
      </c>
      <c r="F118" s="8" t="s">
        <v>272</v>
      </c>
      <c r="G118" s="8">
        <v>2023</v>
      </c>
      <c r="H118" s="8" t="str">
        <f>CONCATENATE("34210081948")</f>
        <v>34210081948</v>
      </c>
      <c r="I118" s="8" t="s">
        <v>48</v>
      </c>
      <c r="J118" s="8" t="s">
        <v>34</v>
      </c>
      <c r="K118" s="8" t="str">
        <f t="shared" si="4"/>
        <v/>
      </c>
      <c r="L118" s="8" t="str">
        <f t="shared" si="6"/>
        <v>13 13.1 4a</v>
      </c>
      <c r="M118" s="8" t="str">
        <f>CONCATENATE("FLNDNC52A18F467M")</f>
        <v>FLNDNC52A18F467M</v>
      </c>
      <c r="N118" s="8" t="s">
        <v>668</v>
      </c>
      <c r="O118" s="8" t="s">
        <v>261</v>
      </c>
      <c r="P118" s="9">
        <v>45371</v>
      </c>
      <c r="Q118" s="8" t="s">
        <v>37</v>
      </c>
      <c r="R118" s="8" t="s">
        <v>38</v>
      </c>
      <c r="S118" s="8" t="s">
        <v>39</v>
      </c>
      <c r="T118" s="8"/>
      <c r="U118" s="8" t="s">
        <v>40</v>
      </c>
      <c r="V118" s="8" t="s">
        <v>669</v>
      </c>
      <c r="W118" s="8" t="s">
        <v>670</v>
      </c>
      <c r="X118" s="8" t="s">
        <v>671</v>
      </c>
      <c r="Y118" s="8" t="s">
        <v>672</v>
      </c>
      <c r="Z118" s="8" t="s">
        <v>45</v>
      </c>
    </row>
    <row r="119" spans="1:26" ht="49.2" x14ac:dyDescent="0.3">
      <c r="A119" s="8" t="s">
        <v>27</v>
      </c>
      <c r="B119" s="8" t="s">
        <v>28</v>
      </c>
      <c r="C119" s="8" t="s">
        <v>29</v>
      </c>
      <c r="D119" s="8" t="s">
        <v>140</v>
      </c>
      <c r="E119" s="8" t="s">
        <v>76</v>
      </c>
      <c r="F119" s="8" t="s">
        <v>141</v>
      </c>
      <c r="G119" s="8">
        <v>2023</v>
      </c>
      <c r="H119" s="8" t="str">
        <f>CONCATENATE("34210058540")</f>
        <v>34210058540</v>
      </c>
      <c r="I119" s="8" t="s">
        <v>48</v>
      </c>
      <c r="J119" s="8" t="s">
        <v>34</v>
      </c>
      <c r="K119" s="8" t="str">
        <f t="shared" si="4"/>
        <v/>
      </c>
      <c r="L119" s="8" t="str">
        <f t="shared" si="6"/>
        <v>13 13.1 4a</v>
      </c>
      <c r="M119" s="8" t="str">
        <f>CONCATENATE("PRZDRN72P16G453C")</f>
        <v>PRZDRN72P16G453C</v>
      </c>
      <c r="N119" s="8" t="s">
        <v>673</v>
      </c>
      <c r="O119" s="8" t="s">
        <v>261</v>
      </c>
      <c r="P119" s="9">
        <v>45371</v>
      </c>
      <c r="Q119" s="8" t="s">
        <v>37</v>
      </c>
      <c r="R119" s="8" t="s">
        <v>38</v>
      </c>
      <c r="S119" s="8" t="s">
        <v>39</v>
      </c>
      <c r="T119" s="8"/>
      <c r="U119" s="8" t="s">
        <v>40</v>
      </c>
      <c r="V119" s="8" t="s">
        <v>674</v>
      </c>
      <c r="W119" s="8" t="s">
        <v>675</v>
      </c>
      <c r="X119" s="8" t="s">
        <v>676</v>
      </c>
      <c r="Y119" s="8" t="s">
        <v>677</v>
      </c>
      <c r="Z119" s="8" t="s">
        <v>45</v>
      </c>
    </row>
    <row r="120" spans="1:26" ht="58.8" x14ac:dyDescent="0.3">
      <c r="A120" s="8" t="s">
        <v>27</v>
      </c>
      <c r="B120" s="8" t="s">
        <v>28</v>
      </c>
      <c r="C120" s="8" t="s">
        <v>29</v>
      </c>
      <c r="D120" s="8" t="s">
        <v>206</v>
      </c>
      <c r="E120" s="8" t="s">
        <v>76</v>
      </c>
      <c r="F120" s="8" t="s">
        <v>463</v>
      </c>
      <c r="G120" s="8">
        <v>2023</v>
      </c>
      <c r="H120" s="8" t="str">
        <f>CONCATENATE("34210016571")</f>
        <v>34210016571</v>
      </c>
      <c r="I120" s="8" t="s">
        <v>48</v>
      </c>
      <c r="J120" s="8" t="s">
        <v>34</v>
      </c>
      <c r="K120" s="8" t="str">
        <f t="shared" si="4"/>
        <v/>
      </c>
      <c r="L120" s="8" t="str">
        <f t="shared" si="6"/>
        <v>13 13.1 4a</v>
      </c>
      <c r="M120" s="8" t="str">
        <f>CONCATENATE("CPPMRC77R28A271G")</f>
        <v>CPPMRC77R28A271G</v>
      </c>
      <c r="N120" s="8" t="s">
        <v>678</v>
      </c>
      <c r="O120" s="8" t="s">
        <v>261</v>
      </c>
      <c r="P120" s="9">
        <v>45371</v>
      </c>
      <c r="Q120" s="8" t="s">
        <v>37</v>
      </c>
      <c r="R120" s="8" t="s">
        <v>38</v>
      </c>
      <c r="S120" s="8" t="s">
        <v>39</v>
      </c>
      <c r="T120" s="8"/>
      <c r="U120" s="8" t="s">
        <v>40</v>
      </c>
      <c r="V120" s="8" t="s">
        <v>679</v>
      </c>
      <c r="W120" s="8" t="s">
        <v>680</v>
      </c>
      <c r="X120" s="8" t="s">
        <v>681</v>
      </c>
      <c r="Y120" s="8" t="s">
        <v>682</v>
      </c>
      <c r="Z120" s="8" t="s">
        <v>45</v>
      </c>
    </row>
    <row r="121" spans="1:26" ht="49.2" x14ac:dyDescent="0.3">
      <c r="A121" s="8" t="s">
        <v>27</v>
      </c>
      <c r="B121" s="8" t="s">
        <v>28</v>
      </c>
      <c r="C121" s="8" t="s">
        <v>29</v>
      </c>
      <c r="D121" s="8" t="s">
        <v>140</v>
      </c>
      <c r="E121" s="8" t="s">
        <v>46</v>
      </c>
      <c r="F121" s="8" t="s">
        <v>683</v>
      </c>
      <c r="G121" s="8">
        <v>2023</v>
      </c>
      <c r="H121" s="8" t="str">
        <f>CONCATENATE("34210110291")</f>
        <v>34210110291</v>
      </c>
      <c r="I121" s="8" t="s">
        <v>48</v>
      </c>
      <c r="J121" s="8" t="s">
        <v>34</v>
      </c>
      <c r="K121" s="8" t="str">
        <f t="shared" si="4"/>
        <v/>
      </c>
      <c r="L121" s="8" t="str">
        <f t="shared" si="6"/>
        <v>13 13.1 4a</v>
      </c>
      <c r="M121" s="8" t="str">
        <f>CONCATENATE("MNTLRT69E03H958T")</f>
        <v>MNTLRT69E03H958T</v>
      </c>
      <c r="N121" s="8" t="s">
        <v>684</v>
      </c>
      <c r="O121" s="8" t="s">
        <v>261</v>
      </c>
      <c r="P121" s="9">
        <v>45371</v>
      </c>
      <c r="Q121" s="8" t="s">
        <v>37</v>
      </c>
      <c r="R121" s="8" t="s">
        <v>38</v>
      </c>
      <c r="S121" s="8" t="s">
        <v>39</v>
      </c>
      <c r="T121" s="8"/>
      <c r="U121" s="8" t="s">
        <v>40</v>
      </c>
      <c r="V121" s="8" t="s">
        <v>685</v>
      </c>
      <c r="W121" s="8" t="s">
        <v>686</v>
      </c>
      <c r="X121" s="8" t="s">
        <v>687</v>
      </c>
      <c r="Y121" s="8" t="s">
        <v>688</v>
      </c>
      <c r="Z121" s="8" t="s">
        <v>45</v>
      </c>
    </row>
    <row r="122" spans="1:26" ht="49.2" x14ac:dyDescent="0.3">
      <c r="A122" s="8" t="s">
        <v>27</v>
      </c>
      <c r="B122" s="8" t="s">
        <v>28</v>
      </c>
      <c r="C122" s="8" t="s">
        <v>29</v>
      </c>
      <c r="D122" s="8" t="s">
        <v>140</v>
      </c>
      <c r="E122" s="8" t="s">
        <v>76</v>
      </c>
      <c r="F122" s="8" t="s">
        <v>406</v>
      </c>
      <c r="G122" s="8">
        <v>2023</v>
      </c>
      <c r="H122" s="8" t="str">
        <f>CONCATENATE("34210052089")</f>
        <v>34210052089</v>
      </c>
      <c r="I122" s="8" t="s">
        <v>48</v>
      </c>
      <c r="J122" s="8" t="s">
        <v>34</v>
      </c>
      <c r="K122" s="8" t="str">
        <f t="shared" si="4"/>
        <v/>
      </c>
      <c r="L122" s="8" t="str">
        <f t="shared" si="6"/>
        <v>13 13.1 4a</v>
      </c>
      <c r="M122" s="8" t="str">
        <f>CONCATENATE("VNGSVN48P54G089T")</f>
        <v>VNGSVN48P54G089T</v>
      </c>
      <c r="N122" s="8" t="s">
        <v>689</v>
      </c>
      <c r="O122" s="8" t="s">
        <v>261</v>
      </c>
      <c r="P122" s="9">
        <v>45371</v>
      </c>
      <c r="Q122" s="8" t="s">
        <v>37</v>
      </c>
      <c r="R122" s="8" t="s">
        <v>38</v>
      </c>
      <c r="S122" s="8" t="s">
        <v>39</v>
      </c>
      <c r="T122" s="8"/>
      <c r="U122" s="8" t="s">
        <v>40</v>
      </c>
      <c r="V122" s="8" t="s">
        <v>690</v>
      </c>
      <c r="W122" s="8" t="s">
        <v>691</v>
      </c>
      <c r="X122" s="8" t="s">
        <v>692</v>
      </c>
      <c r="Y122" s="8" t="s">
        <v>693</v>
      </c>
      <c r="Z122" s="8" t="s">
        <v>45</v>
      </c>
    </row>
    <row r="123" spans="1:26" ht="30" x14ac:dyDescent="0.3">
      <c r="A123" s="8" t="s">
        <v>27</v>
      </c>
      <c r="B123" s="8" t="s">
        <v>28</v>
      </c>
      <c r="C123" s="8" t="s">
        <v>29</v>
      </c>
      <c r="D123" s="8" t="s">
        <v>140</v>
      </c>
      <c r="E123" s="8" t="s">
        <v>76</v>
      </c>
      <c r="F123" s="8" t="s">
        <v>406</v>
      </c>
      <c r="G123" s="8">
        <v>2023</v>
      </c>
      <c r="H123" s="8" t="str">
        <f>CONCATENATE("34240401280")</f>
        <v>34240401280</v>
      </c>
      <c r="I123" s="8" t="s">
        <v>48</v>
      </c>
      <c r="J123" s="8" t="s">
        <v>34</v>
      </c>
      <c r="K123" s="8" t="str">
        <f t="shared" si="4"/>
        <v/>
      </c>
      <c r="L123" s="8" t="str">
        <f>CONCATENATE("11 11.2 4b")</f>
        <v>11 11.2 4b</v>
      </c>
      <c r="M123" s="8" t="str">
        <f>CONCATENATE("01392530414")</f>
        <v>01392530414</v>
      </c>
      <c r="N123" s="8" t="s">
        <v>694</v>
      </c>
      <c r="O123" s="8" t="s">
        <v>295</v>
      </c>
      <c r="P123" s="9">
        <v>45371</v>
      </c>
      <c r="Q123" s="8" t="s">
        <v>37</v>
      </c>
      <c r="R123" s="8" t="s">
        <v>38</v>
      </c>
      <c r="S123" s="8" t="s">
        <v>39</v>
      </c>
      <c r="T123" s="8"/>
      <c r="U123" s="8" t="s">
        <v>40</v>
      </c>
      <c r="V123" s="8" t="s">
        <v>695</v>
      </c>
      <c r="W123" s="8" t="s">
        <v>696</v>
      </c>
      <c r="X123" s="8" t="s">
        <v>697</v>
      </c>
      <c r="Y123" s="8" t="s">
        <v>698</v>
      </c>
      <c r="Z123" s="8" t="s">
        <v>45</v>
      </c>
    </row>
    <row r="124" spans="1:26" ht="49.2" x14ac:dyDescent="0.3">
      <c r="A124" s="8" t="s">
        <v>27</v>
      </c>
      <c r="B124" s="8" t="s">
        <v>28</v>
      </c>
      <c r="C124" s="8" t="s">
        <v>29</v>
      </c>
      <c r="D124" s="8" t="s">
        <v>140</v>
      </c>
      <c r="E124" s="8" t="s">
        <v>31</v>
      </c>
      <c r="F124" s="8" t="s">
        <v>381</v>
      </c>
      <c r="G124" s="8">
        <v>2023</v>
      </c>
      <c r="H124" s="8" t="str">
        <f>CONCATENATE("34210021423")</f>
        <v>34210021423</v>
      </c>
      <c r="I124" s="8" t="s">
        <v>48</v>
      </c>
      <c r="J124" s="8" t="s">
        <v>34</v>
      </c>
      <c r="K124" s="8" t="str">
        <f t="shared" si="4"/>
        <v/>
      </c>
      <c r="L124" s="8" t="str">
        <f>CONCATENATE("13 13.1 4a")</f>
        <v>13 13.1 4a</v>
      </c>
      <c r="M124" s="8" t="str">
        <f>CONCATENATE("TGNNZR57D20D808I")</f>
        <v>TGNNZR57D20D808I</v>
      </c>
      <c r="N124" s="8" t="s">
        <v>699</v>
      </c>
      <c r="O124" s="8" t="s">
        <v>261</v>
      </c>
      <c r="P124" s="9">
        <v>45371</v>
      </c>
      <c r="Q124" s="8" t="s">
        <v>37</v>
      </c>
      <c r="R124" s="8" t="s">
        <v>38</v>
      </c>
      <c r="S124" s="8" t="s">
        <v>39</v>
      </c>
      <c r="T124" s="8"/>
      <c r="U124" s="8" t="s">
        <v>40</v>
      </c>
      <c r="V124" s="8" t="s">
        <v>700</v>
      </c>
      <c r="W124" s="8" t="s">
        <v>701</v>
      </c>
      <c r="X124" s="8" t="s">
        <v>702</v>
      </c>
      <c r="Y124" s="8" t="s">
        <v>703</v>
      </c>
      <c r="Z124" s="8" t="s">
        <v>45</v>
      </c>
    </row>
    <row r="125" spans="1:26" ht="49.2" x14ac:dyDescent="0.3">
      <c r="A125" s="8" t="s">
        <v>27</v>
      </c>
      <c r="B125" s="8" t="s">
        <v>28</v>
      </c>
      <c r="C125" s="8" t="s">
        <v>29</v>
      </c>
      <c r="D125" s="8" t="s">
        <v>140</v>
      </c>
      <c r="E125" s="8" t="s">
        <v>76</v>
      </c>
      <c r="F125" s="8" t="s">
        <v>406</v>
      </c>
      <c r="G125" s="8">
        <v>2023</v>
      </c>
      <c r="H125" s="8" t="str">
        <f>CONCATENATE("34210058557")</f>
        <v>34210058557</v>
      </c>
      <c r="I125" s="8" t="s">
        <v>48</v>
      </c>
      <c r="J125" s="8" t="s">
        <v>34</v>
      </c>
      <c r="K125" s="8" t="str">
        <f t="shared" si="4"/>
        <v/>
      </c>
      <c r="L125" s="8" t="str">
        <f>CONCATENATE("13 13.1 4a")</f>
        <v>13 13.1 4a</v>
      </c>
      <c r="M125" s="8" t="str">
        <f>CONCATENATE("CLDFLL56P63D749T")</f>
        <v>CLDFLL56P63D749T</v>
      </c>
      <c r="N125" s="8" t="s">
        <v>704</v>
      </c>
      <c r="O125" s="8" t="s">
        <v>261</v>
      </c>
      <c r="P125" s="9">
        <v>45371</v>
      </c>
      <c r="Q125" s="8" t="s">
        <v>37</v>
      </c>
      <c r="R125" s="8" t="s">
        <v>38</v>
      </c>
      <c r="S125" s="8" t="s">
        <v>39</v>
      </c>
      <c r="T125" s="8"/>
      <c r="U125" s="8" t="s">
        <v>40</v>
      </c>
      <c r="V125" s="8" t="s">
        <v>705</v>
      </c>
      <c r="W125" s="8" t="s">
        <v>706</v>
      </c>
      <c r="X125" s="8" t="s">
        <v>707</v>
      </c>
      <c r="Y125" s="8" t="s">
        <v>708</v>
      </c>
      <c r="Z125" s="8" t="s">
        <v>45</v>
      </c>
    </row>
    <row r="126" spans="1:26" ht="49.2" x14ac:dyDescent="0.3">
      <c r="A126" s="8" t="s">
        <v>27</v>
      </c>
      <c r="B126" s="8" t="s">
        <v>28</v>
      </c>
      <c r="C126" s="8" t="s">
        <v>29</v>
      </c>
      <c r="D126" s="8" t="s">
        <v>206</v>
      </c>
      <c r="E126" s="8" t="s">
        <v>31</v>
      </c>
      <c r="F126" s="8" t="s">
        <v>123</v>
      </c>
      <c r="G126" s="8">
        <v>2023</v>
      </c>
      <c r="H126" s="8" t="str">
        <f>CONCATENATE("34210073051")</f>
        <v>34210073051</v>
      </c>
      <c r="I126" s="8" t="s">
        <v>48</v>
      </c>
      <c r="J126" s="8" t="s">
        <v>34</v>
      </c>
      <c r="K126" s="8" t="str">
        <f t="shared" si="4"/>
        <v/>
      </c>
      <c r="L126" s="8" t="str">
        <f>CONCATENATE("13 13.1 4a")</f>
        <v>13 13.1 4a</v>
      </c>
      <c r="M126" s="8" t="str">
        <f>CONCATENATE("LRNSMN73S27F051W")</f>
        <v>LRNSMN73S27F051W</v>
      </c>
      <c r="N126" s="8" t="s">
        <v>709</v>
      </c>
      <c r="O126" s="8" t="s">
        <v>261</v>
      </c>
      <c r="P126" s="9">
        <v>45371</v>
      </c>
      <c r="Q126" s="8" t="s">
        <v>37</v>
      </c>
      <c r="R126" s="8" t="s">
        <v>38</v>
      </c>
      <c r="S126" s="8" t="s">
        <v>39</v>
      </c>
      <c r="T126" s="8"/>
      <c r="U126" s="8" t="s">
        <v>40</v>
      </c>
      <c r="V126" s="8" t="s">
        <v>710</v>
      </c>
      <c r="W126" s="8" t="s">
        <v>711</v>
      </c>
      <c r="X126" s="8" t="s">
        <v>712</v>
      </c>
      <c r="Y126" s="8" t="s">
        <v>713</v>
      </c>
      <c r="Z126" s="8" t="s">
        <v>45</v>
      </c>
    </row>
    <row r="127" spans="1:26" ht="49.2" x14ac:dyDescent="0.3">
      <c r="A127" s="8" t="s">
        <v>27</v>
      </c>
      <c r="B127" s="8" t="s">
        <v>28</v>
      </c>
      <c r="C127" s="8" t="s">
        <v>29</v>
      </c>
      <c r="D127" s="8" t="s">
        <v>206</v>
      </c>
      <c r="E127" s="8" t="s">
        <v>31</v>
      </c>
      <c r="F127" s="8" t="s">
        <v>123</v>
      </c>
      <c r="G127" s="8">
        <v>2023</v>
      </c>
      <c r="H127" s="8" t="str">
        <f>CONCATENATE("34210028998")</f>
        <v>34210028998</v>
      </c>
      <c r="I127" s="8" t="s">
        <v>48</v>
      </c>
      <c r="J127" s="8" t="s">
        <v>34</v>
      </c>
      <c r="K127" s="8" t="str">
        <f t="shared" si="4"/>
        <v/>
      </c>
      <c r="L127" s="8" t="str">
        <f>CONCATENATE("13 13.1 4a")</f>
        <v>13 13.1 4a</v>
      </c>
      <c r="M127" s="8" t="str">
        <f>CONCATENATE("GTTMRC64T22I286Q")</f>
        <v>GTTMRC64T22I286Q</v>
      </c>
      <c r="N127" s="8" t="s">
        <v>714</v>
      </c>
      <c r="O127" s="8" t="s">
        <v>261</v>
      </c>
      <c r="P127" s="9">
        <v>45371</v>
      </c>
      <c r="Q127" s="8" t="s">
        <v>37</v>
      </c>
      <c r="R127" s="8" t="s">
        <v>38</v>
      </c>
      <c r="S127" s="8" t="s">
        <v>39</v>
      </c>
      <c r="T127" s="8"/>
      <c r="U127" s="8" t="s">
        <v>40</v>
      </c>
      <c r="V127" s="8" t="s">
        <v>715</v>
      </c>
      <c r="W127" s="8" t="s">
        <v>716</v>
      </c>
      <c r="X127" s="8" t="s">
        <v>717</v>
      </c>
      <c r="Y127" s="8" t="s">
        <v>718</v>
      </c>
      <c r="Z127" s="8" t="s">
        <v>45</v>
      </c>
    </row>
    <row r="128" spans="1:26" ht="49.2" x14ac:dyDescent="0.3">
      <c r="A128" s="8" t="s">
        <v>27</v>
      </c>
      <c r="B128" s="8" t="s">
        <v>28</v>
      </c>
      <c r="C128" s="8" t="s">
        <v>29</v>
      </c>
      <c r="D128" s="8" t="s">
        <v>30</v>
      </c>
      <c r="E128" s="8" t="s">
        <v>31</v>
      </c>
      <c r="F128" s="8" t="s">
        <v>32</v>
      </c>
      <c r="G128" s="8">
        <v>2023</v>
      </c>
      <c r="H128" s="8" t="str">
        <f>CONCATENATE("34210084280")</f>
        <v>34210084280</v>
      </c>
      <c r="I128" s="8" t="s">
        <v>48</v>
      </c>
      <c r="J128" s="8" t="s">
        <v>34</v>
      </c>
      <c r="K128" s="8" t="str">
        <f t="shared" si="4"/>
        <v/>
      </c>
      <c r="L128" s="8" t="str">
        <f>CONCATENATE("13 13.1 4a")</f>
        <v>13 13.1 4a</v>
      </c>
      <c r="M128" s="8" t="str">
        <f>CONCATENATE("PRGGNN33R16I436N")</f>
        <v>PRGGNN33R16I436N</v>
      </c>
      <c r="N128" s="8" t="s">
        <v>719</v>
      </c>
      <c r="O128" s="8" t="s">
        <v>261</v>
      </c>
      <c r="P128" s="9">
        <v>45371</v>
      </c>
      <c r="Q128" s="8" t="s">
        <v>37</v>
      </c>
      <c r="R128" s="8" t="s">
        <v>38</v>
      </c>
      <c r="S128" s="8" t="s">
        <v>39</v>
      </c>
      <c r="T128" s="8"/>
      <c r="U128" s="8" t="s">
        <v>40</v>
      </c>
      <c r="V128" s="8" t="s">
        <v>720</v>
      </c>
      <c r="W128" s="8" t="s">
        <v>721</v>
      </c>
      <c r="X128" s="8" t="s">
        <v>722</v>
      </c>
      <c r="Y128" s="8" t="s">
        <v>723</v>
      </c>
      <c r="Z128" s="8" t="s">
        <v>45</v>
      </c>
    </row>
    <row r="129" spans="1:26" ht="49.2" x14ac:dyDescent="0.3">
      <c r="A129" s="8" t="s">
        <v>27</v>
      </c>
      <c r="B129" s="8" t="s">
        <v>28</v>
      </c>
      <c r="C129" s="8" t="s">
        <v>29</v>
      </c>
      <c r="D129" s="8" t="s">
        <v>206</v>
      </c>
      <c r="E129" s="8" t="s">
        <v>76</v>
      </c>
      <c r="F129" s="8" t="s">
        <v>463</v>
      </c>
      <c r="G129" s="8">
        <v>2023</v>
      </c>
      <c r="H129" s="8" t="str">
        <f>CONCATENATE("34240061472")</f>
        <v>34240061472</v>
      </c>
      <c r="I129" s="8" t="s">
        <v>48</v>
      </c>
      <c r="J129" s="8" t="s">
        <v>34</v>
      </c>
      <c r="K129" s="8" t="str">
        <f t="shared" si="4"/>
        <v/>
      </c>
      <c r="L129" s="8" t="str">
        <f>CONCATENATE("11 11.2 4b")</f>
        <v>11 11.2 4b</v>
      </c>
      <c r="M129" s="8" t="str">
        <f>CONCATENATE("BDYMLN71E42Z100O")</f>
        <v>BDYMLN71E42Z100O</v>
      </c>
      <c r="N129" s="8" t="s">
        <v>724</v>
      </c>
      <c r="O129" s="8" t="s">
        <v>295</v>
      </c>
      <c r="P129" s="9">
        <v>45371</v>
      </c>
      <c r="Q129" s="8" t="s">
        <v>37</v>
      </c>
      <c r="R129" s="8" t="s">
        <v>38</v>
      </c>
      <c r="S129" s="8" t="s">
        <v>39</v>
      </c>
      <c r="T129" s="8"/>
      <c r="U129" s="8" t="s">
        <v>40</v>
      </c>
      <c r="V129" s="8" t="s">
        <v>725</v>
      </c>
      <c r="W129" s="8" t="s">
        <v>726</v>
      </c>
      <c r="X129" s="8" t="s">
        <v>727</v>
      </c>
      <c r="Y129" s="8" t="s">
        <v>728</v>
      </c>
      <c r="Z129" s="8" t="s">
        <v>45</v>
      </c>
    </row>
    <row r="130" spans="1:26" ht="49.2" x14ac:dyDescent="0.3">
      <c r="A130" s="8" t="s">
        <v>27</v>
      </c>
      <c r="B130" s="8" t="s">
        <v>28</v>
      </c>
      <c r="C130" s="8" t="s">
        <v>29</v>
      </c>
      <c r="D130" s="8" t="s">
        <v>140</v>
      </c>
      <c r="E130" s="8" t="s">
        <v>76</v>
      </c>
      <c r="F130" s="8" t="s">
        <v>438</v>
      </c>
      <c r="G130" s="8">
        <v>2023</v>
      </c>
      <c r="H130" s="8" t="str">
        <f>CONCATENATE("34240271295")</f>
        <v>34240271295</v>
      </c>
      <c r="I130" s="8" t="s">
        <v>33</v>
      </c>
      <c r="J130" s="8" t="s">
        <v>34</v>
      </c>
      <c r="K130" s="8" t="str">
        <f t="shared" si="4"/>
        <v/>
      </c>
      <c r="L130" s="8" t="str">
        <f>CONCATENATE("11 11.2 4b")</f>
        <v>11 11.2 4b</v>
      </c>
      <c r="M130" s="8" t="str">
        <f>CONCATENATE("MTTMHL74B21L500J")</f>
        <v>MTTMHL74B21L500J</v>
      </c>
      <c r="N130" s="8" t="s">
        <v>729</v>
      </c>
      <c r="O130" s="8" t="s">
        <v>295</v>
      </c>
      <c r="P130" s="9">
        <v>45371</v>
      </c>
      <c r="Q130" s="8" t="s">
        <v>37</v>
      </c>
      <c r="R130" s="8" t="s">
        <v>38</v>
      </c>
      <c r="S130" s="8" t="s">
        <v>39</v>
      </c>
      <c r="T130" s="8"/>
      <c r="U130" s="8" t="s">
        <v>40</v>
      </c>
      <c r="V130" s="8" t="s">
        <v>730</v>
      </c>
      <c r="W130" s="8" t="s">
        <v>731</v>
      </c>
      <c r="X130" s="8" t="s">
        <v>732</v>
      </c>
      <c r="Y130" s="8" t="s">
        <v>733</v>
      </c>
      <c r="Z130" s="8" t="s">
        <v>45</v>
      </c>
    </row>
    <row r="131" spans="1:26" ht="30" x14ac:dyDescent="0.3">
      <c r="A131" s="8" t="s">
        <v>27</v>
      </c>
      <c r="B131" s="8" t="s">
        <v>28</v>
      </c>
      <c r="C131" s="8" t="s">
        <v>29</v>
      </c>
      <c r="D131" s="8" t="s">
        <v>140</v>
      </c>
      <c r="E131" s="8" t="s">
        <v>76</v>
      </c>
      <c r="F131" s="8" t="s">
        <v>141</v>
      </c>
      <c r="G131" s="8">
        <v>2023</v>
      </c>
      <c r="H131" s="8" t="str">
        <f>CONCATENATE("34240170604")</f>
        <v>34240170604</v>
      </c>
      <c r="I131" s="8" t="s">
        <v>48</v>
      </c>
      <c r="J131" s="8" t="s">
        <v>34</v>
      </c>
      <c r="K131" s="8" t="str">
        <f t="shared" si="4"/>
        <v/>
      </c>
      <c r="L131" s="8" t="str">
        <f>CONCATENATE("11 11.2 4b")</f>
        <v>11 11.2 4b</v>
      </c>
      <c r="M131" s="8" t="str">
        <f>CONCATENATE("01425100417")</f>
        <v>01425100417</v>
      </c>
      <c r="N131" s="8" t="s">
        <v>734</v>
      </c>
      <c r="O131" s="8" t="s">
        <v>295</v>
      </c>
      <c r="P131" s="9">
        <v>45371</v>
      </c>
      <c r="Q131" s="8" t="s">
        <v>37</v>
      </c>
      <c r="R131" s="8" t="s">
        <v>38</v>
      </c>
      <c r="S131" s="8" t="s">
        <v>39</v>
      </c>
      <c r="T131" s="8"/>
      <c r="U131" s="8" t="s">
        <v>40</v>
      </c>
      <c r="V131" s="8" t="s">
        <v>735</v>
      </c>
      <c r="W131" s="8" t="s">
        <v>736</v>
      </c>
      <c r="X131" s="8" t="s">
        <v>737</v>
      </c>
      <c r="Y131" s="8" t="s">
        <v>738</v>
      </c>
      <c r="Z131" s="8" t="s">
        <v>45</v>
      </c>
    </row>
    <row r="132" spans="1:26" ht="30" x14ac:dyDescent="0.3">
      <c r="A132" s="8" t="s">
        <v>27</v>
      </c>
      <c r="B132" s="8" t="s">
        <v>28</v>
      </c>
      <c r="C132" s="8" t="s">
        <v>29</v>
      </c>
      <c r="D132" s="8" t="s">
        <v>84</v>
      </c>
      <c r="E132" s="8" t="s">
        <v>31</v>
      </c>
      <c r="F132" s="8" t="s">
        <v>70</v>
      </c>
      <c r="G132" s="8">
        <v>2023</v>
      </c>
      <c r="H132" s="8" t="str">
        <f>CONCATENATE("34240085711")</f>
        <v>34240085711</v>
      </c>
      <c r="I132" s="8" t="s">
        <v>48</v>
      </c>
      <c r="J132" s="8" t="s">
        <v>34</v>
      </c>
      <c r="K132" s="8" t="str">
        <f t="shared" ref="K132:K146" si="7">CONCATENATE("")</f>
        <v/>
      </c>
      <c r="L132" s="8" t="str">
        <f>CONCATENATE("11 11.2 4b")</f>
        <v>11 11.2 4b</v>
      </c>
      <c r="M132" s="8" t="str">
        <f>CONCATENATE("02299030441")</f>
        <v>02299030441</v>
      </c>
      <c r="N132" s="8" t="s">
        <v>739</v>
      </c>
      <c r="O132" s="8" t="s">
        <v>295</v>
      </c>
      <c r="P132" s="9">
        <v>45371</v>
      </c>
      <c r="Q132" s="8" t="s">
        <v>37</v>
      </c>
      <c r="R132" s="8" t="s">
        <v>38</v>
      </c>
      <c r="S132" s="8" t="s">
        <v>39</v>
      </c>
      <c r="T132" s="8"/>
      <c r="U132" s="8" t="s">
        <v>40</v>
      </c>
      <c r="V132" s="8" t="s">
        <v>740</v>
      </c>
      <c r="W132" s="8" t="s">
        <v>741</v>
      </c>
      <c r="X132" s="8" t="s">
        <v>742</v>
      </c>
      <c r="Y132" s="8" t="s">
        <v>743</v>
      </c>
      <c r="Z132" s="8" t="s">
        <v>45</v>
      </c>
    </row>
    <row r="133" spans="1:26" ht="30" x14ac:dyDescent="0.3">
      <c r="A133" s="8" t="s">
        <v>27</v>
      </c>
      <c r="B133" s="8" t="s">
        <v>28</v>
      </c>
      <c r="C133" s="8" t="s">
        <v>29</v>
      </c>
      <c r="D133" s="8" t="s">
        <v>206</v>
      </c>
      <c r="E133" s="8" t="s">
        <v>76</v>
      </c>
      <c r="F133" s="8" t="s">
        <v>463</v>
      </c>
      <c r="G133" s="8">
        <v>2018</v>
      </c>
      <c r="H133" s="8" t="str">
        <f>CONCATENATE("84241073075")</f>
        <v>84241073075</v>
      </c>
      <c r="I133" s="8" t="s">
        <v>48</v>
      </c>
      <c r="J133" s="8" t="s">
        <v>34</v>
      </c>
      <c r="K133" s="8" t="str">
        <f t="shared" si="7"/>
        <v/>
      </c>
      <c r="L133" s="8" t="str">
        <f>CONCATENATE("11 11.2 4b")</f>
        <v>11 11.2 4b</v>
      </c>
      <c r="M133" s="8" t="str">
        <f>CONCATENATE("00283690428")</f>
        <v>00283690428</v>
      </c>
      <c r="N133" s="8" t="s">
        <v>498</v>
      </c>
      <c r="O133" s="8" t="s">
        <v>295</v>
      </c>
      <c r="P133" s="9">
        <v>45371</v>
      </c>
      <c r="Q133" s="8" t="s">
        <v>37</v>
      </c>
      <c r="R133" s="8" t="s">
        <v>38</v>
      </c>
      <c r="S133" s="8" t="s">
        <v>39</v>
      </c>
      <c r="T133" s="8"/>
      <c r="U133" s="8" t="s">
        <v>40</v>
      </c>
      <c r="V133" s="8" t="s">
        <v>744</v>
      </c>
      <c r="W133" s="8" t="s">
        <v>745</v>
      </c>
      <c r="X133" s="8" t="s">
        <v>746</v>
      </c>
      <c r="Y133" s="8" t="s">
        <v>747</v>
      </c>
      <c r="Z133" s="8" t="s">
        <v>45</v>
      </c>
    </row>
    <row r="134" spans="1:26" ht="49.2" x14ac:dyDescent="0.3">
      <c r="A134" s="8" t="s">
        <v>27</v>
      </c>
      <c r="B134" s="8" t="s">
        <v>28</v>
      </c>
      <c r="C134" s="8" t="s">
        <v>29</v>
      </c>
      <c r="D134" s="8" t="s">
        <v>84</v>
      </c>
      <c r="E134" s="8" t="s">
        <v>748</v>
      </c>
      <c r="F134" s="8" t="s">
        <v>749</v>
      </c>
      <c r="G134" s="8">
        <v>2023</v>
      </c>
      <c r="H134" s="8" t="str">
        <f>CONCATENATE("34240172071")</f>
        <v>34240172071</v>
      </c>
      <c r="I134" s="8" t="s">
        <v>48</v>
      </c>
      <c r="J134" s="8" t="s">
        <v>34</v>
      </c>
      <c r="K134" s="8" t="str">
        <f t="shared" si="7"/>
        <v/>
      </c>
      <c r="L134" s="8" t="str">
        <f>CONCATENATE("11 11.2 4b")</f>
        <v>11 11.2 4b</v>
      </c>
      <c r="M134" s="8" t="str">
        <f>CONCATENATE("MSSPRZ77M07G005T")</f>
        <v>MSSPRZ77M07G005T</v>
      </c>
      <c r="N134" s="8" t="s">
        <v>750</v>
      </c>
      <c r="O134" s="8" t="s">
        <v>295</v>
      </c>
      <c r="P134" s="9">
        <v>45371</v>
      </c>
      <c r="Q134" s="8" t="s">
        <v>37</v>
      </c>
      <c r="R134" s="8" t="s">
        <v>38</v>
      </c>
      <c r="S134" s="8" t="s">
        <v>39</v>
      </c>
      <c r="T134" s="8"/>
      <c r="U134" s="8" t="s">
        <v>40</v>
      </c>
      <c r="V134" s="8" t="s">
        <v>751</v>
      </c>
      <c r="W134" s="8" t="s">
        <v>752</v>
      </c>
      <c r="X134" s="8" t="s">
        <v>753</v>
      </c>
      <c r="Y134" s="8" t="s">
        <v>754</v>
      </c>
      <c r="Z134" s="8" t="s">
        <v>45</v>
      </c>
    </row>
    <row r="135" spans="1:26" ht="49.2" x14ac:dyDescent="0.3">
      <c r="A135" s="8" t="s">
        <v>27</v>
      </c>
      <c r="B135" s="8" t="s">
        <v>28</v>
      </c>
      <c r="C135" s="8" t="s">
        <v>29</v>
      </c>
      <c r="D135" s="8" t="s">
        <v>30</v>
      </c>
      <c r="E135" s="8" t="s">
        <v>76</v>
      </c>
      <c r="F135" s="8" t="s">
        <v>77</v>
      </c>
      <c r="G135" s="8">
        <v>2023</v>
      </c>
      <c r="H135" s="8" t="str">
        <f>CONCATENATE("34240081215")</f>
        <v>34240081215</v>
      </c>
      <c r="I135" s="8" t="s">
        <v>48</v>
      </c>
      <c r="J135" s="8" t="s">
        <v>34</v>
      </c>
      <c r="K135" s="8" t="str">
        <f t="shared" si="7"/>
        <v/>
      </c>
      <c r="L135" s="8" t="str">
        <f>CONCATENATE("11 11.2 4b")</f>
        <v>11 11.2 4b</v>
      </c>
      <c r="M135" s="8" t="str">
        <f>CONCATENATE("CNTRRT83E04H211Z")</f>
        <v>CNTRRT83E04H211Z</v>
      </c>
      <c r="N135" s="8" t="s">
        <v>755</v>
      </c>
      <c r="O135" s="8" t="s">
        <v>295</v>
      </c>
      <c r="P135" s="9">
        <v>45371</v>
      </c>
      <c r="Q135" s="8" t="s">
        <v>37</v>
      </c>
      <c r="R135" s="8" t="s">
        <v>38</v>
      </c>
      <c r="S135" s="8" t="s">
        <v>39</v>
      </c>
      <c r="T135" s="8"/>
      <c r="U135" s="8" t="s">
        <v>40</v>
      </c>
      <c r="V135" s="8" t="s">
        <v>756</v>
      </c>
      <c r="W135" s="8" t="s">
        <v>757</v>
      </c>
      <c r="X135" s="8" t="s">
        <v>758</v>
      </c>
      <c r="Y135" s="8" t="s">
        <v>759</v>
      </c>
      <c r="Z135" s="8" t="s">
        <v>45</v>
      </c>
    </row>
    <row r="136" spans="1:26" ht="30" x14ac:dyDescent="0.3">
      <c r="A136" s="8" t="s">
        <v>27</v>
      </c>
      <c r="B136" s="8" t="s">
        <v>83</v>
      </c>
      <c r="C136" s="8" t="s">
        <v>29</v>
      </c>
      <c r="D136" s="8" t="s">
        <v>30</v>
      </c>
      <c r="E136" s="8" t="s">
        <v>85</v>
      </c>
      <c r="F136" s="8" t="s">
        <v>85</v>
      </c>
      <c r="G136" s="8">
        <v>2017</v>
      </c>
      <c r="H136" s="8" t="str">
        <f>CONCATENATE("34270426934")</f>
        <v>34270426934</v>
      </c>
      <c r="I136" s="8" t="s">
        <v>48</v>
      </c>
      <c r="J136" s="8" t="s">
        <v>34</v>
      </c>
      <c r="K136" s="8" t="str">
        <f t="shared" si="7"/>
        <v/>
      </c>
      <c r="L136" s="8" t="str">
        <f>CONCATENATE("7 7.1 4a")</f>
        <v>7 7.1 4a</v>
      </c>
      <c r="M136" s="8" t="str">
        <f>CONCATENATE("01874330432")</f>
        <v>01874330432</v>
      </c>
      <c r="N136" s="8" t="s">
        <v>760</v>
      </c>
      <c r="O136" s="8" t="s">
        <v>761</v>
      </c>
      <c r="P136" s="9">
        <v>45370</v>
      </c>
      <c r="Q136" s="8" t="s">
        <v>37</v>
      </c>
      <c r="R136" s="8" t="s">
        <v>38</v>
      </c>
      <c r="S136" s="8" t="s">
        <v>39</v>
      </c>
      <c r="T136" s="8"/>
      <c r="U136" s="8" t="s">
        <v>40</v>
      </c>
      <c r="V136" s="8" t="s">
        <v>762</v>
      </c>
      <c r="W136" s="8" t="s">
        <v>763</v>
      </c>
      <c r="X136" s="8" t="s">
        <v>764</v>
      </c>
      <c r="Y136" s="8" t="s">
        <v>765</v>
      </c>
      <c r="Z136" s="8" t="s">
        <v>45</v>
      </c>
    </row>
    <row r="137" spans="1:26" ht="49.2" x14ac:dyDescent="0.3">
      <c r="A137" s="8" t="s">
        <v>27</v>
      </c>
      <c r="B137" s="8" t="s">
        <v>83</v>
      </c>
      <c r="C137" s="8" t="s">
        <v>29</v>
      </c>
      <c r="D137" s="8" t="s">
        <v>30</v>
      </c>
      <c r="E137" s="8" t="s">
        <v>85</v>
      </c>
      <c r="F137" s="8" t="s">
        <v>85</v>
      </c>
      <c r="G137" s="8">
        <v>2017</v>
      </c>
      <c r="H137" s="8" t="str">
        <f>CONCATENATE("34270426991")</f>
        <v>34270426991</v>
      </c>
      <c r="I137" s="8" t="s">
        <v>48</v>
      </c>
      <c r="J137" s="8" t="s">
        <v>34</v>
      </c>
      <c r="K137" s="8" t="str">
        <f t="shared" si="7"/>
        <v/>
      </c>
      <c r="L137" s="8" t="str">
        <f>CONCATENATE("3 3.1 3a")</f>
        <v>3 3.1 3a</v>
      </c>
      <c r="M137" s="8" t="str">
        <f>CONCATENATE("CCCBRC65P55H501G")</f>
        <v>CCCBRC65P55H501G</v>
      </c>
      <c r="N137" s="8" t="s">
        <v>766</v>
      </c>
      <c r="O137" s="8" t="s">
        <v>767</v>
      </c>
      <c r="P137" s="9">
        <v>45370</v>
      </c>
      <c r="Q137" s="8" t="s">
        <v>37</v>
      </c>
      <c r="R137" s="8" t="s">
        <v>38</v>
      </c>
      <c r="S137" s="8" t="s">
        <v>39</v>
      </c>
      <c r="T137" s="8"/>
      <c r="U137" s="8" t="s">
        <v>40</v>
      </c>
      <c r="V137" s="8" t="s">
        <v>768</v>
      </c>
      <c r="W137" s="8" t="s">
        <v>769</v>
      </c>
      <c r="X137" s="8" t="s">
        <v>770</v>
      </c>
      <c r="Y137" s="8" t="s">
        <v>771</v>
      </c>
      <c r="Z137" s="8" t="s">
        <v>45</v>
      </c>
    </row>
    <row r="138" spans="1:26" ht="49.2" x14ac:dyDescent="0.3">
      <c r="A138" s="8" t="s">
        <v>27</v>
      </c>
      <c r="B138" s="8" t="s">
        <v>83</v>
      </c>
      <c r="C138" s="8" t="s">
        <v>29</v>
      </c>
      <c r="D138" s="8" t="s">
        <v>30</v>
      </c>
      <c r="E138" s="8" t="s">
        <v>85</v>
      </c>
      <c r="F138" s="8" t="s">
        <v>85</v>
      </c>
      <c r="G138" s="8">
        <v>2017</v>
      </c>
      <c r="H138" s="8" t="str">
        <f>CONCATENATE("34270426967")</f>
        <v>34270426967</v>
      </c>
      <c r="I138" s="8" t="s">
        <v>48</v>
      </c>
      <c r="J138" s="8" t="s">
        <v>34</v>
      </c>
      <c r="K138" s="8" t="str">
        <f t="shared" si="7"/>
        <v/>
      </c>
      <c r="L138" s="8" t="str">
        <f>CONCATENATE("3 3.1 3a")</f>
        <v>3 3.1 3a</v>
      </c>
      <c r="M138" s="8" t="str">
        <f>CONCATENATE("LZUVNC92C58E783U")</f>
        <v>LZUVNC92C58E783U</v>
      </c>
      <c r="N138" s="8" t="s">
        <v>772</v>
      </c>
      <c r="O138" s="8" t="s">
        <v>767</v>
      </c>
      <c r="P138" s="9">
        <v>45370</v>
      </c>
      <c r="Q138" s="8" t="s">
        <v>37</v>
      </c>
      <c r="R138" s="8" t="s">
        <v>38</v>
      </c>
      <c r="S138" s="8" t="s">
        <v>39</v>
      </c>
      <c r="T138" s="8"/>
      <c r="U138" s="8" t="s">
        <v>40</v>
      </c>
      <c r="V138" s="8" t="s">
        <v>773</v>
      </c>
      <c r="W138" s="8" t="s">
        <v>774</v>
      </c>
      <c r="X138" s="8" t="s">
        <v>775</v>
      </c>
      <c r="Y138" s="8" t="s">
        <v>776</v>
      </c>
      <c r="Z138" s="8" t="s">
        <v>45</v>
      </c>
    </row>
    <row r="139" spans="1:26" ht="49.2" x14ac:dyDescent="0.3">
      <c r="A139" s="8" t="s">
        <v>27</v>
      </c>
      <c r="B139" s="8" t="s">
        <v>83</v>
      </c>
      <c r="C139" s="8" t="s">
        <v>29</v>
      </c>
      <c r="D139" s="8" t="s">
        <v>30</v>
      </c>
      <c r="E139" s="8" t="s">
        <v>85</v>
      </c>
      <c r="F139" s="8" t="s">
        <v>85</v>
      </c>
      <c r="G139" s="8">
        <v>2017</v>
      </c>
      <c r="H139" s="8" t="str">
        <f>CONCATENATE("34270426959")</f>
        <v>34270426959</v>
      </c>
      <c r="I139" s="8" t="s">
        <v>48</v>
      </c>
      <c r="J139" s="8" t="s">
        <v>34</v>
      </c>
      <c r="K139" s="8" t="str">
        <f t="shared" si="7"/>
        <v/>
      </c>
      <c r="L139" s="8" t="str">
        <f>CONCATENATE("3 3.1 3a")</f>
        <v>3 3.1 3a</v>
      </c>
      <c r="M139" s="8" t="str">
        <f>CONCATENATE("MSCMRA50D28B474Y")</f>
        <v>MSCMRA50D28B474Y</v>
      </c>
      <c r="N139" s="8" t="s">
        <v>777</v>
      </c>
      <c r="O139" s="8" t="s">
        <v>767</v>
      </c>
      <c r="P139" s="9">
        <v>45370</v>
      </c>
      <c r="Q139" s="8" t="s">
        <v>37</v>
      </c>
      <c r="R139" s="8" t="s">
        <v>38</v>
      </c>
      <c r="S139" s="8" t="s">
        <v>39</v>
      </c>
      <c r="T139" s="8"/>
      <c r="U139" s="8" t="s">
        <v>40</v>
      </c>
      <c r="V139" s="8" t="s">
        <v>778</v>
      </c>
      <c r="W139" s="8" t="s">
        <v>779</v>
      </c>
      <c r="X139" s="8" t="s">
        <v>780</v>
      </c>
      <c r="Y139" s="8" t="s">
        <v>781</v>
      </c>
      <c r="Z139" s="8" t="s">
        <v>45</v>
      </c>
    </row>
    <row r="140" spans="1:26" ht="49.2" x14ac:dyDescent="0.3">
      <c r="A140" s="8" t="s">
        <v>27</v>
      </c>
      <c r="B140" s="8" t="s">
        <v>83</v>
      </c>
      <c r="C140" s="8" t="s">
        <v>29</v>
      </c>
      <c r="D140" s="8" t="s">
        <v>30</v>
      </c>
      <c r="E140" s="8" t="s">
        <v>85</v>
      </c>
      <c r="F140" s="8" t="s">
        <v>85</v>
      </c>
      <c r="G140" s="8">
        <v>2017</v>
      </c>
      <c r="H140" s="8" t="str">
        <f>CONCATENATE("34270427064")</f>
        <v>34270427064</v>
      </c>
      <c r="I140" s="8" t="s">
        <v>33</v>
      </c>
      <c r="J140" s="8" t="s">
        <v>34</v>
      </c>
      <c r="K140" s="8" t="str">
        <f t="shared" si="7"/>
        <v/>
      </c>
      <c r="L140" s="8" t="str">
        <f>CONCATENATE("8 8.6 5c")</f>
        <v>8 8.6 5c</v>
      </c>
      <c r="M140" s="8" t="str">
        <f>CONCATENATE("CSRCLD80D09E388V")</f>
        <v>CSRCLD80D09E388V</v>
      </c>
      <c r="N140" s="8" t="s">
        <v>782</v>
      </c>
      <c r="O140" s="8" t="s">
        <v>783</v>
      </c>
      <c r="P140" s="9">
        <v>45370</v>
      </c>
      <c r="Q140" s="8" t="s">
        <v>37</v>
      </c>
      <c r="R140" s="8" t="s">
        <v>38</v>
      </c>
      <c r="S140" s="8" t="s">
        <v>39</v>
      </c>
      <c r="T140" s="8"/>
      <c r="U140" s="8" t="s">
        <v>40</v>
      </c>
      <c r="V140" s="8" t="s">
        <v>784</v>
      </c>
      <c r="W140" s="8" t="s">
        <v>785</v>
      </c>
      <c r="X140" s="8" t="s">
        <v>786</v>
      </c>
      <c r="Y140" s="8" t="s">
        <v>787</v>
      </c>
      <c r="Z140" s="8" t="s">
        <v>45</v>
      </c>
    </row>
    <row r="141" spans="1:26" ht="49.2" x14ac:dyDescent="0.3">
      <c r="A141" s="8" t="s">
        <v>27</v>
      </c>
      <c r="B141" s="8" t="s">
        <v>83</v>
      </c>
      <c r="C141" s="8" t="s">
        <v>29</v>
      </c>
      <c r="D141" s="8" t="s">
        <v>84</v>
      </c>
      <c r="E141" s="8" t="s">
        <v>85</v>
      </c>
      <c r="F141" s="8" t="s">
        <v>85</v>
      </c>
      <c r="G141" s="8">
        <v>2017</v>
      </c>
      <c r="H141" s="8" t="str">
        <f>CONCATENATE("34270427023")</f>
        <v>34270427023</v>
      </c>
      <c r="I141" s="8" t="s">
        <v>48</v>
      </c>
      <c r="J141" s="8" t="s">
        <v>34</v>
      </c>
      <c r="K141" s="8" t="str">
        <f t="shared" si="7"/>
        <v/>
      </c>
      <c r="L141" s="8" t="str">
        <f>CONCATENATE("3 3.1 3a")</f>
        <v>3 3.1 3a</v>
      </c>
      <c r="M141" s="8" t="str">
        <f>CONCATENATE("STRGCM77E09D542L")</f>
        <v>STRGCM77E09D542L</v>
      </c>
      <c r="N141" s="8" t="s">
        <v>553</v>
      </c>
      <c r="O141" s="8" t="s">
        <v>788</v>
      </c>
      <c r="P141" s="9">
        <v>45370</v>
      </c>
      <c r="Q141" s="8" t="s">
        <v>37</v>
      </c>
      <c r="R141" s="8" t="s">
        <v>38</v>
      </c>
      <c r="S141" s="8" t="s">
        <v>39</v>
      </c>
      <c r="T141" s="8"/>
      <c r="U141" s="8" t="s">
        <v>40</v>
      </c>
      <c r="V141" s="8" t="s">
        <v>789</v>
      </c>
      <c r="W141" s="8" t="s">
        <v>790</v>
      </c>
      <c r="X141" s="8" t="s">
        <v>791</v>
      </c>
      <c r="Y141" s="8" t="s">
        <v>792</v>
      </c>
      <c r="Z141" s="8" t="s">
        <v>45</v>
      </c>
    </row>
    <row r="142" spans="1:26" ht="49.2" x14ac:dyDescent="0.3">
      <c r="A142" s="8" t="s">
        <v>27</v>
      </c>
      <c r="B142" s="8" t="s">
        <v>83</v>
      </c>
      <c r="C142" s="8" t="s">
        <v>29</v>
      </c>
      <c r="D142" s="8" t="s">
        <v>30</v>
      </c>
      <c r="E142" s="8" t="s">
        <v>31</v>
      </c>
      <c r="F142" s="8" t="s">
        <v>117</v>
      </c>
      <c r="G142" s="8">
        <v>2017</v>
      </c>
      <c r="H142" s="8" t="str">
        <f>CONCATENATE("34270426983")</f>
        <v>34270426983</v>
      </c>
      <c r="I142" s="8" t="s">
        <v>48</v>
      </c>
      <c r="J142" s="8" t="s">
        <v>34</v>
      </c>
      <c r="K142" s="8" t="str">
        <f t="shared" si="7"/>
        <v/>
      </c>
      <c r="L142" s="8" t="str">
        <f>CONCATENATE("3 3.1 3a")</f>
        <v>3 3.1 3a</v>
      </c>
      <c r="M142" s="8" t="str">
        <f>CONCATENATE("NBLCNZ73S59I156C")</f>
        <v>NBLCNZ73S59I156C</v>
      </c>
      <c r="N142" s="8" t="s">
        <v>793</v>
      </c>
      <c r="O142" s="8" t="s">
        <v>767</v>
      </c>
      <c r="P142" s="9">
        <v>45370</v>
      </c>
      <c r="Q142" s="8" t="s">
        <v>37</v>
      </c>
      <c r="R142" s="8" t="s">
        <v>38</v>
      </c>
      <c r="S142" s="8" t="s">
        <v>39</v>
      </c>
      <c r="T142" s="8"/>
      <c r="U142" s="8" t="s">
        <v>40</v>
      </c>
      <c r="V142" s="8" t="s">
        <v>794</v>
      </c>
      <c r="W142" s="8" t="s">
        <v>795</v>
      </c>
      <c r="X142" s="8" t="s">
        <v>796</v>
      </c>
      <c r="Y142" s="8" t="s">
        <v>797</v>
      </c>
      <c r="Z142" s="8" t="s">
        <v>45</v>
      </c>
    </row>
    <row r="143" spans="1:26" ht="49.2" x14ac:dyDescent="0.3">
      <c r="A143" s="8" t="s">
        <v>27</v>
      </c>
      <c r="B143" s="8" t="s">
        <v>83</v>
      </c>
      <c r="C143" s="8" t="s">
        <v>29</v>
      </c>
      <c r="D143" s="8" t="s">
        <v>30</v>
      </c>
      <c r="E143" s="8" t="s">
        <v>97</v>
      </c>
      <c r="F143" s="8" t="s">
        <v>798</v>
      </c>
      <c r="G143" s="8">
        <v>2017</v>
      </c>
      <c r="H143" s="8" t="str">
        <f>CONCATENATE("34270426975")</f>
        <v>34270426975</v>
      </c>
      <c r="I143" s="8" t="s">
        <v>48</v>
      </c>
      <c r="J143" s="8" t="s">
        <v>34</v>
      </c>
      <c r="K143" s="8" t="str">
        <f t="shared" si="7"/>
        <v/>
      </c>
      <c r="L143" s="8" t="str">
        <f>CONCATENATE("3 3.1 3a")</f>
        <v>3 3.1 3a</v>
      </c>
      <c r="M143" s="8" t="str">
        <f>CONCATENATE("FCCGPP90E17H282N")</f>
        <v>FCCGPP90E17H282N</v>
      </c>
      <c r="N143" s="8" t="s">
        <v>799</v>
      </c>
      <c r="O143" s="8" t="s">
        <v>767</v>
      </c>
      <c r="P143" s="9">
        <v>45370</v>
      </c>
      <c r="Q143" s="8" t="s">
        <v>37</v>
      </c>
      <c r="R143" s="8" t="s">
        <v>38</v>
      </c>
      <c r="S143" s="8" t="s">
        <v>39</v>
      </c>
      <c r="T143" s="8"/>
      <c r="U143" s="8" t="s">
        <v>40</v>
      </c>
      <c r="V143" s="8" t="s">
        <v>800</v>
      </c>
      <c r="W143" s="8" t="s">
        <v>801</v>
      </c>
      <c r="X143" s="8" t="s">
        <v>802</v>
      </c>
      <c r="Y143" s="8" t="s">
        <v>803</v>
      </c>
      <c r="Z143" s="8" t="s">
        <v>45</v>
      </c>
    </row>
    <row r="144" spans="1:26" ht="49.2" x14ac:dyDescent="0.3">
      <c r="A144" s="8" t="s">
        <v>27</v>
      </c>
      <c r="B144" s="8" t="s">
        <v>83</v>
      </c>
      <c r="C144" s="8" t="s">
        <v>29</v>
      </c>
      <c r="D144" s="8" t="s">
        <v>140</v>
      </c>
      <c r="E144" s="8" t="s">
        <v>76</v>
      </c>
      <c r="F144" s="8" t="s">
        <v>438</v>
      </c>
      <c r="G144" s="8">
        <v>2017</v>
      </c>
      <c r="H144" s="8" t="str">
        <f>CONCATENATE("24270242969")</f>
        <v>24270242969</v>
      </c>
      <c r="I144" s="8" t="s">
        <v>48</v>
      </c>
      <c r="J144" s="8" t="s">
        <v>34</v>
      </c>
      <c r="K144" s="8" t="str">
        <f t="shared" si="7"/>
        <v/>
      </c>
      <c r="L144" s="8" t="str">
        <f>CONCATENATE("3 3.1 3a")</f>
        <v>3 3.1 3a</v>
      </c>
      <c r="M144" s="8" t="str">
        <f>CONCATENATE("SCLLRN76T50L500O")</f>
        <v>SCLLRN76T50L500O</v>
      </c>
      <c r="N144" s="8" t="s">
        <v>804</v>
      </c>
      <c r="O144" s="8" t="s">
        <v>767</v>
      </c>
      <c r="P144" s="9">
        <v>45370</v>
      </c>
      <c r="Q144" s="8" t="s">
        <v>37</v>
      </c>
      <c r="R144" s="8" t="s">
        <v>38</v>
      </c>
      <c r="S144" s="8" t="s">
        <v>39</v>
      </c>
      <c r="T144" s="8"/>
      <c r="U144" s="8" t="s">
        <v>40</v>
      </c>
      <c r="V144" s="8" t="s">
        <v>805</v>
      </c>
      <c r="W144" s="8" t="s">
        <v>806</v>
      </c>
      <c r="X144" s="8" t="s">
        <v>807</v>
      </c>
      <c r="Y144" s="8" t="s">
        <v>808</v>
      </c>
      <c r="Z144" s="8" t="s">
        <v>45</v>
      </c>
    </row>
    <row r="145" spans="1:26" ht="30" x14ac:dyDescent="0.3">
      <c r="A145" s="8" t="s">
        <v>27</v>
      </c>
      <c r="B145" s="8" t="s">
        <v>83</v>
      </c>
      <c r="C145" s="8" t="s">
        <v>29</v>
      </c>
      <c r="D145" s="8" t="s">
        <v>30</v>
      </c>
      <c r="E145" s="8" t="s">
        <v>31</v>
      </c>
      <c r="F145" s="8" t="s">
        <v>809</v>
      </c>
      <c r="G145" s="8">
        <v>2017</v>
      </c>
      <c r="H145" s="8" t="str">
        <f>CONCATENATE("34270427072")</f>
        <v>34270427072</v>
      </c>
      <c r="I145" s="8" t="s">
        <v>48</v>
      </c>
      <c r="J145" s="8" t="s">
        <v>34</v>
      </c>
      <c r="K145" s="8" t="str">
        <f t="shared" si="7"/>
        <v/>
      </c>
      <c r="L145" s="8" t="str">
        <f>CONCATENATE("8 8.3 5e")</f>
        <v>8 8.3 5e</v>
      </c>
      <c r="M145" s="8" t="str">
        <f>CONCATENATE("01786360436")</f>
        <v>01786360436</v>
      </c>
      <c r="N145" s="8" t="s">
        <v>810</v>
      </c>
      <c r="O145" s="8" t="s">
        <v>811</v>
      </c>
      <c r="P145" s="9">
        <v>45370</v>
      </c>
      <c r="Q145" s="8" t="s">
        <v>37</v>
      </c>
      <c r="R145" s="8" t="s">
        <v>249</v>
      </c>
      <c r="S145" s="8" t="s">
        <v>39</v>
      </c>
      <c r="T145" s="8"/>
      <c r="U145" s="8" t="s">
        <v>40</v>
      </c>
      <c r="V145" s="8" t="s">
        <v>812</v>
      </c>
      <c r="W145" s="8" t="s">
        <v>813</v>
      </c>
      <c r="X145" s="8" t="s">
        <v>814</v>
      </c>
      <c r="Y145" s="8" t="s">
        <v>815</v>
      </c>
      <c r="Z145" s="8" t="s">
        <v>45</v>
      </c>
    </row>
    <row r="146" spans="1:26" ht="58.8" x14ac:dyDescent="0.3">
      <c r="A146" s="8" t="s">
        <v>27</v>
      </c>
      <c r="B146" s="8" t="s">
        <v>83</v>
      </c>
      <c r="C146" s="8" t="s">
        <v>29</v>
      </c>
      <c r="D146" s="8" t="s">
        <v>84</v>
      </c>
      <c r="E146" s="8" t="s">
        <v>85</v>
      </c>
      <c r="F146" s="8" t="s">
        <v>85</v>
      </c>
      <c r="G146" s="8">
        <v>2017</v>
      </c>
      <c r="H146" s="8" t="str">
        <f>CONCATENATE("34270427015")</f>
        <v>34270427015</v>
      </c>
      <c r="I146" s="8" t="s">
        <v>48</v>
      </c>
      <c r="J146" s="8" t="s">
        <v>34</v>
      </c>
      <c r="K146" s="8" t="str">
        <f t="shared" si="7"/>
        <v/>
      </c>
      <c r="L146" s="8" t="str">
        <f>CONCATENATE("3 3.1 3a")</f>
        <v>3 3.1 3a</v>
      </c>
      <c r="M146" s="8" t="str">
        <f>CONCATENATE("MRNBBR84A61H769Y")</f>
        <v>MRNBBR84A61H769Y</v>
      </c>
      <c r="N146" s="8" t="s">
        <v>816</v>
      </c>
      <c r="O146" s="8" t="s">
        <v>788</v>
      </c>
      <c r="P146" s="9">
        <v>45370</v>
      </c>
      <c r="Q146" s="8" t="s">
        <v>37</v>
      </c>
      <c r="R146" s="8" t="s">
        <v>38</v>
      </c>
      <c r="S146" s="8" t="s">
        <v>39</v>
      </c>
      <c r="T146" s="8"/>
      <c r="U146" s="8" t="s">
        <v>40</v>
      </c>
      <c r="V146" s="8" t="s">
        <v>817</v>
      </c>
      <c r="W146" s="8" t="s">
        <v>818</v>
      </c>
      <c r="X146" s="8" t="s">
        <v>819</v>
      </c>
      <c r="Y146" s="8" t="s">
        <v>820</v>
      </c>
      <c r="Z146" s="8" t="s">
        <v>45</v>
      </c>
    </row>
  </sheetData>
  <mergeCells count="1">
    <mergeCell ref="A2:Z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MARCHE</vt:lpstr>
    </vt:vector>
  </TitlesOfParts>
  <Company>AgEA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Greco Giancarlo</dc:creator>
  <cp:lastModifiedBy>Greco Giancarlo</cp:lastModifiedBy>
  <dcterms:created xsi:type="dcterms:W3CDTF">2024-03-26T10:46:31Z</dcterms:created>
  <dcterms:modified xsi:type="dcterms:W3CDTF">2024-03-26T10:46:32Z</dcterms:modified>
</cp:coreProperties>
</file>