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76/spacchettamento/"/>
    </mc:Choice>
  </mc:AlternateContent>
  <xr:revisionPtr revIDLastSave="0" documentId="8_{67870891-0E1B-4F4E-A375-915E7E627633}" xr6:coauthVersionLast="47" xr6:coauthVersionMax="47" xr10:uidLastSave="{00000000-0000-0000-0000-000000000000}"/>
  <bookViews>
    <workbookView xWindow="-110" yWindow="-110" windowWidth="19420" windowHeight="10300" xr2:uid="{6B01AF5C-CFAA-4292-A071-ADB27507331F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<sst xmlns="http://schemas.openxmlformats.org/spreadsheetml/2006/main" count="503" uniqueCount="106">
  <si>
    <t>Dettaglio Domande Pagabili Decreto 676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</si>
  <si>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</si>
  <si>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</si>
  <si>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</si>
  <si>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</si>
  <si>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</si>
  <si>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</si>
  <si>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</si>
  <si>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</si>
  <si>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</si>
  <si>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</si>
  <si>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</si>
  <si>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</si>
  <si>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</si>
  <si>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</si>
  <si>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</si>
  <si>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</si>
  <si>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</si>
  <si>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</si>
  <si>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</si>
  <si>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</si>
  <si>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</si>
  <si>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</si>
  <si>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</si>
  <si>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</si>
  <si>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</si>
  <si>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</si>
  <si>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</si>
  <si>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</si>
  <si>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</si>
  <si>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IN PROPRIO</t>
  </si>
  <si>
    <t>NO</t>
  </si>
  <si>
    <t>PSR 2014/2022</t>
  </si>
  <si>
    <t>MENCARINI PATRIZIA</t>
  </si>
  <si>
    <t>AGEA.ASR.2024.0295207</t>
  </si>
  <si>
    <t>In Liquidazione</t>
  </si>
  <si>
    <t>SAL</t>
  </si>
  <si>
    <t>Co-Finanziato</t>
  </si>
  <si>
    <t>Ordinario</t>
  </si>
  <si>
    <t>SERV. DEC. AGRICOLTURA E ALIMENTAZIONE - PESARO</t>
  </si>
  <si>
    <t>COMUNE DI APECCHIO</t>
  </si>
  <si>
    <t>AGEA.ASR.2024.0086808</t>
  </si>
  <si>
    <t>Anticipo</t>
  </si>
  <si>
    <t>SERV. DEC. AGRICOLTURA E ALIM. -ASCOLI PICENO</t>
  </si>
  <si>
    <t>CAA UNICAA srl</t>
  </si>
  <si>
    <t>CAA UNICAA - ASCOLI PICENO - 004</t>
  </si>
  <si>
    <t>BENIGNI ALESSIA</t>
  </si>
  <si>
    <t>AGEA.ASR.2024.0080718</t>
  </si>
  <si>
    <t>Saldo</t>
  </si>
  <si>
    <t>SERV. DEC. AGRICOLTURA E ALIMENTAZIONE - ANCONA</t>
  </si>
  <si>
    <t>SI</t>
  </si>
  <si>
    <t>CANTORI ROBERTO</t>
  </si>
  <si>
    <t>AGEA.ASR.2024.0340051</t>
  </si>
  <si>
    <t>CAA Coldiretti srl</t>
  </si>
  <si>
    <t>CAA Coldiretti - FERMO - 001</t>
  </si>
  <si>
    <t>RASTELLI GIUSEPPE</t>
  </si>
  <si>
    <t>CAA CIA srl</t>
  </si>
  <si>
    <t>CAA CIA - ASCOLI PICENO - 004</t>
  </si>
  <si>
    <t>VITALI GABRIELE</t>
  </si>
  <si>
    <t>AGEA.ASR.2024.0080709</t>
  </si>
  <si>
    <t>SERV. DEC. AGRICOLTURA E ALIM. - MACERATA</t>
  </si>
  <si>
    <t>COMUNE DI POLLENZA</t>
  </si>
  <si>
    <t>AGEA.ASR.2024.0305047</t>
  </si>
  <si>
    <t>CONTADINI ANNA MARIA</t>
  </si>
  <si>
    <t>AGEA.ASR.2024.0080720</t>
  </si>
  <si>
    <t>SOCIETA' AGRICOLA ANDROMEDA SRL</t>
  </si>
  <si>
    <t>AGEA.ASR.2024.0080725</t>
  </si>
  <si>
    <t>DB SNC DI BIONDI FILIPPO E DELL'OSPEDALEROBERTO</t>
  </si>
  <si>
    <t>AGEA.ASR.2024.0296117</t>
  </si>
  <si>
    <t>BIOWORK S.R.L.S.</t>
  </si>
  <si>
    <t>AGEA.ASR.2024.0295180</t>
  </si>
  <si>
    <t>COLLINE DI MONTEFIORE SOCIETA' AGRICOLA SEMPLICE</t>
  </si>
  <si>
    <t>AGEA.ASR.2024.0068086</t>
  </si>
  <si>
    <t>CAA CIA - PESARO E URBINO - 005</t>
  </si>
  <si>
    <t>ABBONDANZIERI LUCIANO</t>
  </si>
  <si>
    <t>AGEA.ASR.2024.0080277</t>
  </si>
  <si>
    <t>PACIONI BARBARA</t>
  </si>
  <si>
    <t>AGEA.ASR.2024.0340988</t>
  </si>
  <si>
    <t>ZANOTTA MARIA ALESSANDRA</t>
  </si>
  <si>
    <t>SCOCCIA MARCO</t>
  </si>
  <si>
    <t>CAA Coldiretti - PESARO E URBINO - 013</t>
  </si>
  <si>
    <t>VERDINI IGINO</t>
  </si>
  <si>
    <t>PROVINCIA DI PESARO E URBINO</t>
  </si>
  <si>
    <t>AGEA.ASR.2024.0312322</t>
  </si>
  <si>
    <t>ROSSINI LORETTA</t>
  </si>
  <si>
    <t>AGEA.ASR.2024.0080084</t>
  </si>
  <si>
    <t>CAA CIA - PESARO E URBINO - 008</t>
  </si>
  <si>
    <t>VALENTINI SONIA</t>
  </si>
  <si>
    <t>CAA Coldiretti - ANCONA - 003</t>
  </si>
  <si>
    <t>FEDERAZIONE REGIONALE COLDIRETTI MARCHE</t>
  </si>
  <si>
    <t>AGEA.ASR.2024.0295918</t>
  </si>
  <si>
    <t>IL SENTIERO DI SPACCAPANICCIA FABIO E GUIDO SOCIETA' AGRICOLA SEMPLICE</t>
  </si>
  <si>
    <t>AGEA.ASR.2024.0297441</t>
  </si>
  <si>
    <t>CAA CIA - ANCONA - 002</t>
  </si>
  <si>
    <t>RENALDI SIMONA</t>
  </si>
  <si>
    <t>AGEA.ASR.2024.0343514</t>
  </si>
  <si>
    <t>MARIANI MARTA</t>
  </si>
  <si>
    <t>AGEA.ASR.2024.0296185</t>
  </si>
  <si>
    <t>AGEA.ASR.2024.0297580</t>
  </si>
  <si>
    <t>CAA Coldiretti - MACERATA - 009</t>
  </si>
  <si>
    <t>COLA GIANNI</t>
  </si>
  <si>
    <t>PALAFERRI GIOVANNI</t>
  </si>
  <si>
    <t>CAA Copagri srl</t>
  </si>
  <si>
    <t>CAA Copagri - ANCONA - 502</t>
  </si>
  <si>
    <t>CESARONI CRISTIAN</t>
  </si>
  <si>
    <t>AGEA.ASR.2024.0375436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</si>
</sst>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B9DB-3E72-498A-A061-644F38FAFE40}">
  <sheetPr>
    <pageSetUpPr fitToPage="1"/>
  </sheetPr>
  <dimension ref="A1:Z37"/>
  <sheetViews>
    <sheetView tabSelected="1" workbookViewId="0"/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4.90625" bestFit="1" customWidth="1"/>
    <col min="11" max="12" width="10.7265625" bestFit="1" customWidth="1"/>
    <col min="13" max="13" width="2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4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ht="24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41.5" x14ac:dyDescent="0.35">
      <c r="A4" s="8" t="s">
        <v>27</v>
      </c>
      <c r="B4" s="8" t="s">
        <v>28</v>
      </c>
      <c r="C4" s="8" t="s">
        <v>29</v>
      </c>
      <c r="D4" s="8" t="s">
        <v>29</v>
      </c>
      <c r="E4" s="8" t="s">
        <v>30</v>
      </c>
      <c r="F4" s="8" t="s">
        <v>30</v>
      </c>
      <c r="G4" s="8">
        <v>2017</v>
      </c>
      <c r="H4" s="8" t="str">
        <f>CONCATENATE("34270426686")</f>
        <v>34270426686</v>
      </c>
      <c r="I4" s="8" t="s">
        <v>31</v>
      </c>
      <c r="J4" s="8" t="s">
        <v>32</v>
      </c>
      <c r="K4" s="8" t="str">
        <f t="shared" ref="K4:K37" si="0">CONCATENATE("")</f>
        <v/>
      </c>
      <c r="L4" s="8" t="str">
        <f>CONCATENATE("19 19.2 6b")</f>
        <v>19 19.2 6b</v>
      </c>
      <c r="M4" s="8" t="str">
        <f>CONCATENATE("MNCPRZ74C47D705I")</f>
        <v>MNCPRZ74C47D705I</v>
      </c>
      <c r="N4" s="8" t="s">
        <v>33</v>
      </c>
      <c r="O4" s="8" t="s">
        <v>34</v>
      </c>
      <c r="P4" s="9">
        <v>45355</v>
      </c>
      <c r="Q4" s="8" t="s">
        <v>35</v>
      </c>
      <c r="R4" s="8" t="s">
        <v>36</v>
      </c>
      <c r="S4" s="8" t="s">
        <v>37</v>
      </c>
      <c r="T4" s="8"/>
      <c r="U4" s="8" t="s">
        <v>38</v>
      </c>
      <c r="V4" s="10">
        <v>12500</v>
      </c>
      <c r="W4" s="10">
        <v>5390</v>
      </c>
      <c r="X4" s="10">
        <v>4977.5</v>
      </c>
      <c r="Y4" s="10">
        <v>2132.5</v>
      </c>
      <c r="Z4" s="8">
        <v>0</v>
      </c>
    </row>
    <row r="5" spans="1:26" ht="25.5" x14ac:dyDescent="0.35">
      <c r="A5" s="8" t="s">
        <v>27</v>
      </c>
      <c r="B5" s="8" t="s">
        <v>28</v>
      </c>
      <c r="C5" s="8" t="s">
        <v>29</v>
      </c>
      <c r="D5" s="8" t="s">
        <v>39</v>
      </c>
      <c r="E5" s="8" t="s">
        <v>30</v>
      </c>
      <c r="F5" s="8" t="s">
        <v>30</v>
      </c>
      <c r="G5" s="8">
        <v>2017</v>
      </c>
      <c r="H5" s="8" t="str">
        <f>CONCATENATE("34270414914")</f>
        <v>34270414914</v>
      </c>
      <c r="I5" s="8" t="s">
        <v>31</v>
      </c>
      <c r="J5" s="8" t="s">
        <v>32</v>
      </c>
      <c r="K5" s="8" t="str">
        <f t="shared" si="0"/>
        <v/>
      </c>
      <c r="L5" s="8" t="str">
        <f>CONCATENATE("7 7.6 6a")</f>
        <v>7 7.6 6a</v>
      </c>
      <c r="M5" s="8" t="str">
        <f>CONCATENATE("82000010411")</f>
        <v>82000010411</v>
      </c>
      <c r="N5" s="8" t="s">
        <v>40</v>
      </c>
      <c r="O5" s="8" t="s">
        <v>41</v>
      </c>
      <c r="P5" s="9">
        <v>45355</v>
      </c>
      <c r="Q5" s="8" t="s">
        <v>35</v>
      </c>
      <c r="R5" s="8" t="s">
        <v>42</v>
      </c>
      <c r="S5" s="8" t="s">
        <v>37</v>
      </c>
      <c r="T5" s="8"/>
      <c r="U5" s="8" t="s">
        <v>38</v>
      </c>
      <c r="V5" s="10">
        <v>42413.4</v>
      </c>
      <c r="W5" s="10">
        <v>18288.66</v>
      </c>
      <c r="X5" s="10">
        <v>16889.02</v>
      </c>
      <c r="Y5" s="10">
        <v>7235.72</v>
      </c>
      <c r="Z5" s="8">
        <v>0</v>
      </c>
    </row>
    <row r="6" spans="1:26" ht="41.5" x14ac:dyDescent="0.35">
      <c r="A6" s="8" t="s">
        <v>27</v>
      </c>
      <c r="B6" s="8" t="s">
        <v>28</v>
      </c>
      <c r="C6" s="8" t="s">
        <v>29</v>
      </c>
      <c r="D6" s="8" t="s">
        <v>43</v>
      </c>
      <c r="E6" s="8" t="s">
        <v>44</v>
      </c>
      <c r="F6" s="8" t="s">
        <v>45</v>
      </c>
      <c r="G6" s="8">
        <v>2017</v>
      </c>
      <c r="H6" s="8" t="str">
        <f>CONCATENATE("34270426637")</f>
        <v>34270426637</v>
      </c>
      <c r="I6" s="8" t="s">
        <v>31</v>
      </c>
      <c r="J6" s="8" t="s">
        <v>32</v>
      </c>
      <c r="K6" s="8" t="str">
        <f t="shared" si="0"/>
        <v/>
      </c>
      <c r="L6" s="8" t="str">
        <f>CONCATENATE("4 4.1 2a")</f>
        <v>4 4.1 2a</v>
      </c>
      <c r="M6" s="8" t="str">
        <f>CONCATENATE("BNGLSS85E42H769G")</f>
        <v>BNGLSS85E42H769G</v>
      </c>
      <c r="N6" s="8" t="s">
        <v>46</v>
      </c>
      <c r="O6" s="8" t="s">
        <v>47</v>
      </c>
      <c r="P6" s="9">
        <v>45355</v>
      </c>
      <c r="Q6" s="8" t="s">
        <v>35</v>
      </c>
      <c r="R6" s="8" t="s">
        <v>48</v>
      </c>
      <c r="S6" s="8" t="s">
        <v>37</v>
      </c>
      <c r="T6" s="8"/>
      <c r="U6" s="8" t="s">
        <v>38</v>
      </c>
      <c r="V6" s="10">
        <v>34601.72</v>
      </c>
      <c r="W6" s="10">
        <v>14920.26</v>
      </c>
      <c r="X6" s="10">
        <v>13778.4</v>
      </c>
      <c r="Y6" s="10">
        <v>5903.06</v>
      </c>
      <c r="Z6" s="8">
        <v>0</v>
      </c>
    </row>
    <row r="7" spans="1:26" ht="41.5" x14ac:dyDescent="0.35">
      <c r="A7" s="8" t="s">
        <v>27</v>
      </c>
      <c r="B7" s="8" t="s">
        <v>28</v>
      </c>
      <c r="C7" s="8" t="s">
        <v>29</v>
      </c>
      <c r="D7" s="8" t="s">
        <v>49</v>
      </c>
      <c r="E7" s="8" t="s">
        <v>30</v>
      </c>
      <c r="F7" s="8" t="s">
        <v>30</v>
      </c>
      <c r="G7" s="8">
        <v>2017</v>
      </c>
      <c r="H7" s="8" t="str">
        <f>CONCATENATE("34270426850")</f>
        <v>34270426850</v>
      </c>
      <c r="I7" s="8" t="s">
        <v>50</v>
      </c>
      <c r="J7" s="8" t="s">
        <v>32</v>
      </c>
      <c r="K7" s="8" t="str">
        <f t="shared" si="0"/>
        <v/>
      </c>
      <c r="L7" s="8" t="str">
        <f>CONCATENATE("4 4.1 2a")</f>
        <v>4 4.1 2a</v>
      </c>
      <c r="M7" s="8" t="str">
        <f>CONCATENATE("CNTRRT83E04H211Z")</f>
        <v>CNTRRT83E04H211Z</v>
      </c>
      <c r="N7" s="8" t="s">
        <v>51</v>
      </c>
      <c r="O7" s="8" t="s">
        <v>52</v>
      </c>
      <c r="P7" s="9">
        <v>45355</v>
      </c>
      <c r="Q7" s="8" t="s">
        <v>35</v>
      </c>
      <c r="R7" s="8" t="s">
        <v>48</v>
      </c>
      <c r="S7" s="8" t="s">
        <v>37</v>
      </c>
      <c r="T7" s="8"/>
      <c r="U7" s="8" t="s">
        <v>38</v>
      </c>
      <c r="V7" s="10">
        <v>136844.07999999999</v>
      </c>
      <c r="W7" s="10">
        <v>59007.17</v>
      </c>
      <c r="X7" s="10">
        <v>54491.31</v>
      </c>
      <c r="Y7" s="10">
        <v>23345.599999999999</v>
      </c>
      <c r="Z7" s="8">
        <v>0</v>
      </c>
    </row>
    <row r="8" spans="1:26" ht="41.5" x14ac:dyDescent="0.35">
      <c r="A8" s="8" t="s">
        <v>27</v>
      </c>
      <c r="B8" s="8" t="s">
        <v>28</v>
      </c>
      <c r="C8" s="8" t="s">
        <v>29</v>
      </c>
      <c r="D8" s="8" t="s">
        <v>43</v>
      </c>
      <c r="E8" s="8" t="s">
        <v>53</v>
      </c>
      <c r="F8" s="8" t="s">
        <v>54</v>
      </c>
      <c r="G8" s="8">
        <v>2017</v>
      </c>
      <c r="H8" s="8" t="str">
        <f>CONCATENATE("44270033457")</f>
        <v>44270033457</v>
      </c>
      <c r="I8" s="8" t="s">
        <v>31</v>
      </c>
      <c r="J8" s="8" t="s">
        <v>32</v>
      </c>
      <c r="K8" s="8" t="str">
        <f t="shared" si="0"/>
        <v/>
      </c>
      <c r="L8" s="8" t="str">
        <f>CONCATENATE("4 4.1 2a")</f>
        <v>4 4.1 2a</v>
      </c>
      <c r="M8" s="8" t="str">
        <f>CONCATENATE("RSTGPP56S24I315F")</f>
        <v>RSTGPP56S24I315F</v>
      </c>
      <c r="N8" s="8" t="s">
        <v>55</v>
      </c>
      <c r="O8" s="8" t="s">
        <v>52</v>
      </c>
      <c r="P8" s="9">
        <v>45355</v>
      </c>
      <c r="Q8" s="8" t="s">
        <v>35</v>
      </c>
      <c r="R8" s="8" t="s">
        <v>48</v>
      </c>
      <c r="S8" s="8" t="s">
        <v>37</v>
      </c>
      <c r="T8" s="8"/>
      <c r="U8" s="8" t="s">
        <v>38</v>
      </c>
      <c r="V8" s="10">
        <v>22400</v>
      </c>
      <c r="W8" s="10">
        <v>9658.8799999999992</v>
      </c>
      <c r="X8" s="10">
        <v>8919.68</v>
      </c>
      <c r="Y8" s="10">
        <v>3821.44</v>
      </c>
      <c r="Z8" s="8">
        <v>0</v>
      </c>
    </row>
    <row r="9" spans="1:26" ht="41.5" x14ac:dyDescent="0.35">
      <c r="A9" s="8" t="s">
        <v>27</v>
      </c>
      <c r="B9" s="8" t="s">
        <v>28</v>
      </c>
      <c r="C9" s="8" t="s">
        <v>29</v>
      </c>
      <c r="D9" s="8" t="s">
        <v>43</v>
      </c>
      <c r="E9" s="8" t="s">
        <v>56</v>
      </c>
      <c r="F9" s="8" t="s">
        <v>57</v>
      </c>
      <c r="G9" s="8">
        <v>2017</v>
      </c>
      <c r="H9" s="8" t="str">
        <f>CONCATENATE("44270022187")</f>
        <v>44270022187</v>
      </c>
      <c r="I9" s="8" t="s">
        <v>31</v>
      </c>
      <c r="J9" s="8" t="s">
        <v>32</v>
      </c>
      <c r="K9" s="8" t="str">
        <f t="shared" si="0"/>
        <v/>
      </c>
      <c r="L9" s="8" t="str">
        <f>CONCATENATE("4 4.1 2a")</f>
        <v>4 4.1 2a</v>
      </c>
      <c r="M9" s="8" t="str">
        <f>CONCATENATE("VTLGRL78T27G516V")</f>
        <v>VTLGRL78T27G516V</v>
      </c>
      <c r="N9" s="8" t="s">
        <v>58</v>
      </c>
      <c r="O9" s="8" t="s">
        <v>59</v>
      </c>
      <c r="P9" s="9">
        <v>45355</v>
      </c>
      <c r="Q9" s="8" t="s">
        <v>35</v>
      </c>
      <c r="R9" s="8" t="s">
        <v>42</v>
      </c>
      <c r="S9" s="8" t="s">
        <v>37</v>
      </c>
      <c r="T9" s="8"/>
      <c r="U9" s="8" t="s">
        <v>38</v>
      </c>
      <c r="V9" s="10">
        <v>10587</v>
      </c>
      <c r="W9" s="10">
        <v>4565.1099999999997</v>
      </c>
      <c r="X9" s="10">
        <v>4215.74</v>
      </c>
      <c r="Y9" s="10">
        <v>1806.15</v>
      </c>
      <c r="Z9" s="8">
        <v>0</v>
      </c>
    </row>
    <row r="10" spans="1:26" ht="25.5" x14ac:dyDescent="0.35">
      <c r="A10" s="8" t="s">
        <v>27</v>
      </c>
      <c r="B10" s="8" t="s">
        <v>28</v>
      </c>
      <c r="C10" s="8" t="s">
        <v>29</v>
      </c>
      <c r="D10" s="8" t="s">
        <v>60</v>
      </c>
      <c r="E10" s="8" t="s">
        <v>30</v>
      </c>
      <c r="F10" s="8" t="s">
        <v>30</v>
      </c>
      <c r="G10" s="8">
        <v>2017</v>
      </c>
      <c r="H10" s="8" t="str">
        <f>CONCATENATE("34270426785")</f>
        <v>34270426785</v>
      </c>
      <c r="I10" s="8" t="s">
        <v>50</v>
      </c>
      <c r="J10" s="8" t="s">
        <v>32</v>
      </c>
      <c r="K10" s="8" t="str">
        <f t="shared" si="0"/>
        <v/>
      </c>
      <c r="L10" s="8" t="str">
        <f>CONCATENATE("4 4.3 2a")</f>
        <v>4 4.3 2a</v>
      </c>
      <c r="M10" s="8" t="str">
        <f>CONCATENATE("00224000430")</f>
        <v>00224000430</v>
      </c>
      <c r="N10" s="8" t="s">
        <v>61</v>
      </c>
      <c r="O10" s="8" t="s">
        <v>62</v>
      </c>
      <c r="P10" s="9">
        <v>45355</v>
      </c>
      <c r="Q10" s="8" t="s">
        <v>35</v>
      </c>
      <c r="R10" s="8" t="s">
        <v>48</v>
      </c>
      <c r="S10" s="8" t="s">
        <v>37</v>
      </c>
      <c r="T10" s="8"/>
      <c r="U10" s="8" t="s">
        <v>38</v>
      </c>
      <c r="V10" s="10">
        <v>29243.65</v>
      </c>
      <c r="W10" s="10">
        <v>12609.86</v>
      </c>
      <c r="X10" s="10">
        <v>11644.82</v>
      </c>
      <c r="Y10" s="10">
        <v>4988.97</v>
      </c>
      <c r="Z10" s="8">
        <v>0</v>
      </c>
    </row>
    <row r="11" spans="1:26" ht="49.5" x14ac:dyDescent="0.35">
      <c r="A11" s="8" t="s">
        <v>27</v>
      </c>
      <c r="B11" s="8" t="s">
        <v>28</v>
      </c>
      <c r="C11" s="8" t="s">
        <v>29</v>
      </c>
      <c r="D11" s="8" t="s">
        <v>39</v>
      </c>
      <c r="E11" s="8" t="s">
        <v>30</v>
      </c>
      <c r="F11" s="8" t="s">
        <v>30</v>
      </c>
      <c r="G11" s="8">
        <v>2017</v>
      </c>
      <c r="H11" s="8" t="str">
        <f>CONCATENATE("44270022195")</f>
        <v>44270022195</v>
      </c>
      <c r="I11" s="8" t="s">
        <v>31</v>
      </c>
      <c r="J11" s="8" t="s">
        <v>32</v>
      </c>
      <c r="K11" s="8" t="str">
        <f t="shared" si="0"/>
        <v/>
      </c>
      <c r="L11" s="8" t="str">
        <f>CONCATENATE("4 4.1 2a")</f>
        <v>4 4.1 2a</v>
      </c>
      <c r="M11" s="8" t="str">
        <f>CONCATENATE("CNTNMR52A44F478T")</f>
        <v>CNTNMR52A44F478T</v>
      </c>
      <c r="N11" s="8" t="s">
        <v>63</v>
      </c>
      <c r="O11" s="8" t="s">
        <v>64</v>
      </c>
      <c r="P11" s="9">
        <v>45355</v>
      </c>
      <c r="Q11" s="8" t="s">
        <v>35</v>
      </c>
      <c r="R11" s="8" t="s">
        <v>42</v>
      </c>
      <c r="S11" s="8" t="s">
        <v>37</v>
      </c>
      <c r="T11" s="8"/>
      <c r="U11" s="8" t="s">
        <v>38</v>
      </c>
      <c r="V11" s="10">
        <v>38000</v>
      </c>
      <c r="W11" s="10">
        <v>16385.599999999999</v>
      </c>
      <c r="X11" s="10">
        <v>15131.6</v>
      </c>
      <c r="Y11" s="10">
        <v>6482.8</v>
      </c>
      <c r="Z11" s="8">
        <v>0</v>
      </c>
    </row>
    <row r="12" spans="1:26" ht="25.5" x14ac:dyDescent="0.35">
      <c r="A12" s="8" t="s">
        <v>27</v>
      </c>
      <c r="B12" s="8" t="s">
        <v>28</v>
      </c>
      <c r="C12" s="8" t="s">
        <v>29</v>
      </c>
      <c r="D12" s="8" t="s">
        <v>43</v>
      </c>
      <c r="E12" s="8" t="s">
        <v>30</v>
      </c>
      <c r="F12" s="8" t="s">
        <v>30</v>
      </c>
      <c r="G12" s="8">
        <v>2017</v>
      </c>
      <c r="H12" s="8" t="str">
        <f>CONCATENATE("34270426652")</f>
        <v>34270426652</v>
      </c>
      <c r="I12" s="8" t="s">
        <v>31</v>
      </c>
      <c r="J12" s="8" t="s">
        <v>32</v>
      </c>
      <c r="K12" s="8" t="str">
        <f t="shared" si="0"/>
        <v/>
      </c>
      <c r="L12" s="8" t="str">
        <f>CONCATENATE("4 4.1 2a")</f>
        <v>4 4.1 2a</v>
      </c>
      <c r="M12" s="8" t="str">
        <f>CONCATENATE("01762040671")</f>
        <v>01762040671</v>
      </c>
      <c r="N12" s="8" t="s">
        <v>65</v>
      </c>
      <c r="O12" s="8" t="s">
        <v>66</v>
      </c>
      <c r="P12" s="9">
        <v>45355</v>
      </c>
      <c r="Q12" s="8" t="s">
        <v>35</v>
      </c>
      <c r="R12" s="8" t="s">
        <v>48</v>
      </c>
      <c r="S12" s="8" t="s">
        <v>37</v>
      </c>
      <c r="T12" s="8"/>
      <c r="U12" s="8" t="s">
        <v>38</v>
      </c>
      <c r="V12" s="10">
        <v>58023.53</v>
      </c>
      <c r="W12" s="10">
        <v>25019.75</v>
      </c>
      <c r="X12" s="10">
        <v>23104.97</v>
      </c>
      <c r="Y12" s="10">
        <v>9898.81</v>
      </c>
      <c r="Z12" s="8">
        <v>0</v>
      </c>
    </row>
    <row r="13" spans="1:26" ht="25.5" x14ac:dyDescent="0.35">
      <c r="A13" s="8" t="s">
        <v>27</v>
      </c>
      <c r="B13" s="8" t="s">
        <v>28</v>
      </c>
      <c r="C13" s="8" t="s">
        <v>29</v>
      </c>
      <c r="D13" s="8" t="s">
        <v>39</v>
      </c>
      <c r="E13" s="8" t="s">
        <v>30</v>
      </c>
      <c r="F13" s="8" t="s">
        <v>30</v>
      </c>
      <c r="G13" s="8">
        <v>2017</v>
      </c>
      <c r="H13" s="8" t="str">
        <f>CONCATENATE("34270426694")</f>
        <v>34270426694</v>
      </c>
      <c r="I13" s="8" t="s">
        <v>31</v>
      </c>
      <c r="J13" s="8" t="s">
        <v>32</v>
      </c>
      <c r="K13" s="8" t="str">
        <f t="shared" si="0"/>
        <v/>
      </c>
      <c r="L13" s="8" t="str">
        <f t="shared" ref="L13:L19" si="1">CONCATENATE("2 2.1 2a")</f>
        <v>2 2.1 2a</v>
      </c>
      <c r="M13" s="8" t="str">
        <f t="shared" ref="M13:M19" si="2">CONCATENATE("02445050418")</f>
        <v>02445050418</v>
      </c>
      <c r="N13" s="8" t="s">
        <v>67</v>
      </c>
      <c r="O13" s="8" t="s">
        <v>68</v>
      </c>
      <c r="P13" s="9">
        <v>45355</v>
      </c>
      <c r="Q13" s="8" t="s">
        <v>35</v>
      </c>
      <c r="R13" s="8" t="s">
        <v>48</v>
      </c>
      <c r="S13" s="8" t="s">
        <v>37</v>
      </c>
      <c r="T13" s="8"/>
      <c r="U13" s="8" t="s">
        <v>38</v>
      </c>
      <c r="V13" s="10">
        <v>1500</v>
      </c>
      <c r="W13" s="8">
        <v>646.79999999999995</v>
      </c>
      <c r="X13" s="8">
        <v>597.29999999999995</v>
      </c>
      <c r="Y13" s="8">
        <v>255.9</v>
      </c>
      <c r="Z13" s="8">
        <v>0</v>
      </c>
    </row>
    <row r="14" spans="1:26" ht="25.5" x14ac:dyDescent="0.35">
      <c r="A14" s="8" t="s">
        <v>27</v>
      </c>
      <c r="B14" s="8" t="s">
        <v>28</v>
      </c>
      <c r="C14" s="8" t="s">
        <v>29</v>
      </c>
      <c r="D14" s="8" t="s">
        <v>39</v>
      </c>
      <c r="E14" s="8" t="s">
        <v>30</v>
      </c>
      <c r="F14" s="8" t="s">
        <v>30</v>
      </c>
      <c r="G14" s="8">
        <v>2017</v>
      </c>
      <c r="H14" s="8" t="str">
        <f>CONCATENATE("34270426702")</f>
        <v>34270426702</v>
      </c>
      <c r="I14" s="8" t="s">
        <v>31</v>
      </c>
      <c r="J14" s="8" t="s">
        <v>32</v>
      </c>
      <c r="K14" s="8" t="str">
        <f t="shared" si="0"/>
        <v/>
      </c>
      <c r="L14" s="8" t="str">
        <f t="shared" si="1"/>
        <v>2 2.1 2a</v>
      </c>
      <c r="M14" s="8" t="str">
        <f t="shared" si="2"/>
        <v>02445050418</v>
      </c>
      <c r="N14" s="8" t="s">
        <v>67</v>
      </c>
      <c r="O14" s="8" t="s">
        <v>68</v>
      </c>
      <c r="P14" s="9">
        <v>45355</v>
      </c>
      <c r="Q14" s="8" t="s">
        <v>35</v>
      </c>
      <c r="R14" s="8" t="s">
        <v>48</v>
      </c>
      <c r="S14" s="8" t="s">
        <v>37</v>
      </c>
      <c r="T14" s="8"/>
      <c r="U14" s="8" t="s">
        <v>38</v>
      </c>
      <c r="V14" s="10">
        <v>1500</v>
      </c>
      <c r="W14" s="8">
        <v>646.79999999999995</v>
      </c>
      <c r="X14" s="8">
        <v>597.29999999999995</v>
      </c>
      <c r="Y14" s="8">
        <v>255.9</v>
      </c>
      <c r="Z14" s="8">
        <v>0</v>
      </c>
    </row>
    <row r="15" spans="1:26" ht="25.5" x14ac:dyDescent="0.35">
      <c r="A15" s="8" t="s">
        <v>27</v>
      </c>
      <c r="B15" s="8" t="s">
        <v>28</v>
      </c>
      <c r="C15" s="8" t="s">
        <v>29</v>
      </c>
      <c r="D15" s="8" t="s">
        <v>39</v>
      </c>
      <c r="E15" s="8" t="s">
        <v>30</v>
      </c>
      <c r="F15" s="8" t="s">
        <v>30</v>
      </c>
      <c r="G15" s="8">
        <v>2017</v>
      </c>
      <c r="H15" s="8" t="str">
        <f>CONCATENATE("34270426736")</f>
        <v>34270426736</v>
      </c>
      <c r="I15" s="8" t="s">
        <v>31</v>
      </c>
      <c r="J15" s="8" t="s">
        <v>32</v>
      </c>
      <c r="K15" s="8" t="str">
        <f t="shared" si="0"/>
        <v/>
      </c>
      <c r="L15" s="8" t="str">
        <f t="shared" si="1"/>
        <v>2 2.1 2a</v>
      </c>
      <c r="M15" s="8" t="str">
        <f t="shared" si="2"/>
        <v>02445050418</v>
      </c>
      <c r="N15" s="8" t="s">
        <v>67</v>
      </c>
      <c r="O15" s="8" t="s">
        <v>68</v>
      </c>
      <c r="P15" s="9">
        <v>45355</v>
      </c>
      <c r="Q15" s="8" t="s">
        <v>35</v>
      </c>
      <c r="R15" s="8" t="s">
        <v>48</v>
      </c>
      <c r="S15" s="8" t="s">
        <v>37</v>
      </c>
      <c r="T15" s="8"/>
      <c r="U15" s="8" t="s">
        <v>38</v>
      </c>
      <c r="V15" s="10">
        <v>1500</v>
      </c>
      <c r="W15" s="8">
        <v>646.79999999999995</v>
      </c>
      <c r="X15" s="8">
        <v>597.29999999999995</v>
      </c>
      <c r="Y15" s="8">
        <v>255.9</v>
      </c>
      <c r="Z15" s="8">
        <v>0</v>
      </c>
    </row>
    <row r="16" spans="1:26" ht="25.5" x14ac:dyDescent="0.35">
      <c r="A16" s="8" t="s">
        <v>27</v>
      </c>
      <c r="B16" s="8" t="s">
        <v>28</v>
      </c>
      <c r="C16" s="8" t="s">
        <v>29</v>
      </c>
      <c r="D16" s="8" t="s">
        <v>39</v>
      </c>
      <c r="E16" s="8" t="s">
        <v>30</v>
      </c>
      <c r="F16" s="8" t="s">
        <v>30</v>
      </c>
      <c r="G16" s="8">
        <v>2017</v>
      </c>
      <c r="H16" s="8" t="str">
        <f>CONCATENATE("34270426660")</f>
        <v>34270426660</v>
      </c>
      <c r="I16" s="8" t="s">
        <v>31</v>
      </c>
      <c r="J16" s="8" t="s">
        <v>32</v>
      </c>
      <c r="K16" s="8" t="str">
        <f t="shared" si="0"/>
        <v/>
      </c>
      <c r="L16" s="8" t="str">
        <f t="shared" si="1"/>
        <v>2 2.1 2a</v>
      </c>
      <c r="M16" s="8" t="str">
        <f t="shared" si="2"/>
        <v>02445050418</v>
      </c>
      <c r="N16" s="8" t="s">
        <v>67</v>
      </c>
      <c r="O16" s="8" t="s">
        <v>68</v>
      </c>
      <c r="P16" s="9">
        <v>45355</v>
      </c>
      <c r="Q16" s="8" t="s">
        <v>35</v>
      </c>
      <c r="R16" s="8" t="s">
        <v>48</v>
      </c>
      <c r="S16" s="8" t="s">
        <v>37</v>
      </c>
      <c r="T16" s="8"/>
      <c r="U16" s="8" t="s">
        <v>38</v>
      </c>
      <c r="V16" s="10">
        <v>1500</v>
      </c>
      <c r="W16" s="8">
        <v>646.79999999999995</v>
      </c>
      <c r="X16" s="8">
        <v>597.29999999999995</v>
      </c>
      <c r="Y16" s="8">
        <v>255.9</v>
      </c>
      <c r="Z16" s="8">
        <v>0</v>
      </c>
    </row>
    <row r="17" spans="1:26" ht="25.5" x14ac:dyDescent="0.35">
      <c r="A17" s="8" t="s">
        <v>27</v>
      </c>
      <c r="B17" s="8" t="s">
        <v>28</v>
      </c>
      <c r="C17" s="8" t="s">
        <v>29</v>
      </c>
      <c r="D17" s="8" t="s">
        <v>39</v>
      </c>
      <c r="E17" s="8" t="s">
        <v>30</v>
      </c>
      <c r="F17" s="8" t="s">
        <v>30</v>
      </c>
      <c r="G17" s="8">
        <v>2017</v>
      </c>
      <c r="H17" s="8" t="str">
        <f>CONCATENATE("34270426728")</f>
        <v>34270426728</v>
      </c>
      <c r="I17" s="8" t="s">
        <v>31</v>
      </c>
      <c r="J17" s="8" t="s">
        <v>32</v>
      </c>
      <c r="K17" s="8" t="str">
        <f t="shared" si="0"/>
        <v/>
      </c>
      <c r="L17" s="8" t="str">
        <f t="shared" si="1"/>
        <v>2 2.1 2a</v>
      </c>
      <c r="M17" s="8" t="str">
        <f t="shared" si="2"/>
        <v>02445050418</v>
      </c>
      <c r="N17" s="8" t="s">
        <v>67</v>
      </c>
      <c r="O17" s="8" t="s">
        <v>68</v>
      </c>
      <c r="P17" s="9">
        <v>45355</v>
      </c>
      <c r="Q17" s="8" t="s">
        <v>35</v>
      </c>
      <c r="R17" s="8" t="s">
        <v>48</v>
      </c>
      <c r="S17" s="8" t="s">
        <v>37</v>
      </c>
      <c r="T17" s="8"/>
      <c r="U17" s="8" t="s">
        <v>38</v>
      </c>
      <c r="V17" s="10">
        <v>1500</v>
      </c>
      <c r="W17" s="8">
        <v>646.79999999999995</v>
      </c>
      <c r="X17" s="8">
        <v>597.29999999999995</v>
      </c>
      <c r="Y17" s="8">
        <v>255.9</v>
      </c>
      <c r="Z17" s="8">
        <v>0</v>
      </c>
    </row>
    <row r="18" spans="1:26" ht="25.5" x14ac:dyDescent="0.35">
      <c r="A18" s="8" t="s">
        <v>27</v>
      </c>
      <c r="B18" s="8" t="s">
        <v>28</v>
      </c>
      <c r="C18" s="8" t="s">
        <v>29</v>
      </c>
      <c r="D18" s="8" t="s">
        <v>39</v>
      </c>
      <c r="E18" s="8" t="s">
        <v>30</v>
      </c>
      <c r="F18" s="8" t="s">
        <v>30</v>
      </c>
      <c r="G18" s="8">
        <v>2017</v>
      </c>
      <c r="H18" s="8" t="str">
        <f>CONCATENATE("34270426710")</f>
        <v>34270426710</v>
      </c>
      <c r="I18" s="8" t="s">
        <v>31</v>
      </c>
      <c r="J18" s="8" t="s">
        <v>32</v>
      </c>
      <c r="K18" s="8" t="str">
        <f t="shared" si="0"/>
        <v/>
      </c>
      <c r="L18" s="8" t="str">
        <f t="shared" si="1"/>
        <v>2 2.1 2a</v>
      </c>
      <c r="M18" s="8" t="str">
        <f t="shared" si="2"/>
        <v>02445050418</v>
      </c>
      <c r="N18" s="8" t="s">
        <v>67</v>
      </c>
      <c r="O18" s="8" t="s">
        <v>68</v>
      </c>
      <c r="P18" s="9">
        <v>45355</v>
      </c>
      <c r="Q18" s="8" t="s">
        <v>35</v>
      </c>
      <c r="R18" s="8" t="s">
        <v>48</v>
      </c>
      <c r="S18" s="8" t="s">
        <v>37</v>
      </c>
      <c r="T18" s="8"/>
      <c r="U18" s="8" t="s">
        <v>38</v>
      </c>
      <c r="V18" s="10">
        <v>1500</v>
      </c>
      <c r="W18" s="8">
        <v>646.79999999999995</v>
      </c>
      <c r="X18" s="8">
        <v>597.29999999999995</v>
      </c>
      <c r="Y18" s="8">
        <v>255.9</v>
      </c>
      <c r="Z18" s="8">
        <v>0</v>
      </c>
    </row>
    <row r="19" spans="1:26" ht="25.5" x14ac:dyDescent="0.35">
      <c r="A19" s="8" t="s">
        <v>27</v>
      </c>
      <c r="B19" s="8" t="s">
        <v>28</v>
      </c>
      <c r="C19" s="8" t="s">
        <v>29</v>
      </c>
      <c r="D19" s="8" t="s">
        <v>39</v>
      </c>
      <c r="E19" s="8" t="s">
        <v>30</v>
      </c>
      <c r="F19" s="8" t="s">
        <v>30</v>
      </c>
      <c r="G19" s="8">
        <v>2017</v>
      </c>
      <c r="H19" s="8" t="str">
        <f>CONCATENATE("34270426678")</f>
        <v>34270426678</v>
      </c>
      <c r="I19" s="8" t="s">
        <v>31</v>
      </c>
      <c r="J19" s="8" t="s">
        <v>32</v>
      </c>
      <c r="K19" s="8" t="str">
        <f t="shared" si="0"/>
        <v/>
      </c>
      <c r="L19" s="8" t="str">
        <f t="shared" si="1"/>
        <v>2 2.1 2a</v>
      </c>
      <c r="M19" s="8" t="str">
        <f t="shared" si="2"/>
        <v>02445050418</v>
      </c>
      <c r="N19" s="8" t="s">
        <v>67</v>
      </c>
      <c r="O19" s="8" t="s">
        <v>68</v>
      </c>
      <c r="P19" s="9">
        <v>45355</v>
      </c>
      <c r="Q19" s="8" t="s">
        <v>35</v>
      </c>
      <c r="R19" s="8" t="s">
        <v>48</v>
      </c>
      <c r="S19" s="8" t="s">
        <v>37</v>
      </c>
      <c r="T19" s="8"/>
      <c r="U19" s="8" t="s">
        <v>38</v>
      </c>
      <c r="V19" s="10">
        <v>1500</v>
      </c>
      <c r="W19" s="8">
        <v>646.79999999999995</v>
      </c>
      <c r="X19" s="8">
        <v>597.29999999999995</v>
      </c>
      <c r="Y19" s="8">
        <v>255.9</v>
      </c>
      <c r="Z19" s="8">
        <v>0</v>
      </c>
    </row>
    <row r="20" spans="1:26" ht="25.5" x14ac:dyDescent="0.35">
      <c r="A20" s="8" t="s">
        <v>27</v>
      </c>
      <c r="B20" s="8" t="s">
        <v>28</v>
      </c>
      <c r="C20" s="8" t="s">
        <v>29</v>
      </c>
      <c r="D20" s="8" t="s">
        <v>29</v>
      </c>
      <c r="E20" s="8" t="s">
        <v>30</v>
      </c>
      <c r="F20" s="8" t="s">
        <v>30</v>
      </c>
      <c r="G20" s="8">
        <v>2017</v>
      </c>
      <c r="H20" s="8" t="str">
        <f>CONCATENATE("34270426595")</f>
        <v>34270426595</v>
      </c>
      <c r="I20" s="8" t="s">
        <v>31</v>
      </c>
      <c r="J20" s="8" t="s">
        <v>32</v>
      </c>
      <c r="K20" s="8" t="str">
        <f t="shared" si="0"/>
        <v/>
      </c>
      <c r="L20" s="8" t="str">
        <f>CONCATENATE("19 19.2 6b")</f>
        <v>19 19.2 6b</v>
      </c>
      <c r="M20" s="8" t="str">
        <f>CONCATENATE("02298690443")</f>
        <v>02298690443</v>
      </c>
      <c r="N20" s="8" t="s">
        <v>69</v>
      </c>
      <c r="O20" s="8" t="s">
        <v>70</v>
      </c>
      <c r="P20" s="9">
        <v>45355</v>
      </c>
      <c r="Q20" s="8" t="s">
        <v>35</v>
      </c>
      <c r="R20" s="8" t="s">
        <v>42</v>
      </c>
      <c r="S20" s="8" t="s">
        <v>37</v>
      </c>
      <c r="T20" s="8"/>
      <c r="U20" s="8" t="s">
        <v>38</v>
      </c>
      <c r="V20" s="10">
        <v>13144.25</v>
      </c>
      <c r="W20" s="10">
        <v>5667.8</v>
      </c>
      <c r="X20" s="10">
        <v>5234.04</v>
      </c>
      <c r="Y20" s="10">
        <v>2242.41</v>
      </c>
      <c r="Z20" s="8">
        <v>0</v>
      </c>
    </row>
    <row r="21" spans="1:26" ht="25.5" x14ac:dyDescent="0.35">
      <c r="A21" s="8" t="s">
        <v>27</v>
      </c>
      <c r="B21" s="8" t="s">
        <v>28</v>
      </c>
      <c r="C21" s="8" t="s">
        <v>29</v>
      </c>
      <c r="D21" s="8" t="s">
        <v>43</v>
      </c>
      <c r="E21" s="8" t="s">
        <v>30</v>
      </c>
      <c r="F21" s="8" t="s">
        <v>30</v>
      </c>
      <c r="G21" s="8">
        <v>2017</v>
      </c>
      <c r="H21" s="8" t="str">
        <f>CONCATENATE("34270426462")</f>
        <v>34270426462</v>
      </c>
      <c r="I21" s="8" t="s">
        <v>31</v>
      </c>
      <c r="J21" s="8" t="s">
        <v>32</v>
      </c>
      <c r="K21" s="8" t="str">
        <f t="shared" si="0"/>
        <v/>
      </c>
      <c r="L21" s="8" t="str">
        <f>CONCATENATE("5 5.1 3b")</f>
        <v>5 5.1 3b</v>
      </c>
      <c r="M21" s="8" t="str">
        <f>CONCATENATE("02326400443")</f>
        <v>02326400443</v>
      </c>
      <c r="N21" s="8" t="s">
        <v>71</v>
      </c>
      <c r="O21" s="8" t="s">
        <v>72</v>
      </c>
      <c r="P21" s="9">
        <v>45355</v>
      </c>
      <c r="Q21" s="8" t="s">
        <v>35</v>
      </c>
      <c r="R21" s="8" t="s">
        <v>42</v>
      </c>
      <c r="S21" s="8" t="s">
        <v>37</v>
      </c>
      <c r="T21" s="8"/>
      <c r="U21" s="8" t="s">
        <v>38</v>
      </c>
      <c r="V21" s="10">
        <v>25000</v>
      </c>
      <c r="W21" s="10">
        <v>10780</v>
      </c>
      <c r="X21" s="10">
        <v>9955</v>
      </c>
      <c r="Y21" s="10">
        <v>4265</v>
      </c>
      <c r="Z21" s="8">
        <v>0</v>
      </c>
    </row>
    <row r="22" spans="1:26" ht="41.5" x14ac:dyDescent="0.35">
      <c r="A22" s="8" t="s">
        <v>27</v>
      </c>
      <c r="B22" s="8" t="s">
        <v>28</v>
      </c>
      <c r="C22" s="8" t="s">
        <v>29</v>
      </c>
      <c r="D22" s="8" t="s">
        <v>39</v>
      </c>
      <c r="E22" s="8" t="s">
        <v>56</v>
      </c>
      <c r="F22" s="8" t="s">
        <v>73</v>
      </c>
      <c r="G22" s="8">
        <v>2017</v>
      </c>
      <c r="H22" s="8" t="str">
        <f>CONCATENATE("34270426645")</f>
        <v>34270426645</v>
      </c>
      <c r="I22" s="8" t="s">
        <v>31</v>
      </c>
      <c r="J22" s="8" t="s">
        <v>32</v>
      </c>
      <c r="K22" s="8" t="str">
        <f t="shared" si="0"/>
        <v/>
      </c>
      <c r="L22" s="8" t="str">
        <f>CONCATENATE("8 8.1 5e")</f>
        <v>8 8.1 5e</v>
      </c>
      <c r="M22" s="8" t="str">
        <f>CONCATENATE("BBNLCN63B03I654I")</f>
        <v>BBNLCN63B03I654I</v>
      </c>
      <c r="N22" s="8" t="s">
        <v>74</v>
      </c>
      <c r="O22" s="8" t="s">
        <v>75</v>
      </c>
      <c r="P22" s="9">
        <v>45355</v>
      </c>
      <c r="Q22" s="8" t="s">
        <v>35</v>
      </c>
      <c r="R22" s="8" t="s">
        <v>48</v>
      </c>
      <c r="S22" s="8" t="s">
        <v>37</v>
      </c>
      <c r="T22" s="8"/>
      <c r="U22" s="8" t="s">
        <v>38</v>
      </c>
      <c r="V22" s="10">
        <v>4601.75</v>
      </c>
      <c r="W22" s="10">
        <v>1984.27</v>
      </c>
      <c r="X22" s="10">
        <v>1832.42</v>
      </c>
      <c r="Y22" s="8">
        <v>785.06</v>
      </c>
      <c r="Z22" s="8">
        <v>0</v>
      </c>
    </row>
    <row r="23" spans="1:26" ht="41.5" x14ac:dyDescent="0.35">
      <c r="A23" s="8" t="s">
        <v>27</v>
      </c>
      <c r="B23" s="8" t="s">
        <v>28</v>
      </c>
      <c r="C23" s="8" t="s">
        <v>29</v>
      </c>
      <c r="D23" s="8" t="s">
        <v>43</v>
      </c>
      <c r="E23" s="8" t="s">
        <v>30</v>
      </c>
      <c r="F23" s="8" t="s">
        <v>30</v>
      </c>
      <c r="G23" s="8">
        <v>2017</v>
      </c>
      <c r="H23" s="8" t="str">
        <f>CONCATENATE("44270033440")</f>
        <v>44270033440</v>
      </c>
      <c r="I23" s="8" t="s">
        <v>31</v>
      </c>
      <c r="J23" s="8" t="s">
        <v>32</v>
      </c>
      <c r="K23" s="8" t="str">
        <f t="shared" si="0"/>
        <v/>
      </c>
      <c r="L23" s="8" t="str">
        <f>CONCATENATE("4 4.1 2a")</f>
        <v>4 4.1 2a</v>
      </c>
      <c r="M23" s="8" t="str">
        <f>CONCATENATE("PCNBBR71R52E783L")</f>
        <v>PCNBBR71R52E783L</v>
      </c>
      <c r="N23" s="8" t="s">
        <v>76</v>
      </c>
      <c r="O23" s="8" t="s">
        <v>77</v>
      </c>
      <c r="P23" s="9">
        <v>45355</v>
      </c>
      <c r="Q23" s="8" t="s">
        <v>35</v>
      </c>
      <c r="R23" s="8" t="s">
        <v>42</v>
      </c>
      <c r="S23" s="8" t="s">
        <v>37</v>
      </c>
      <c r="T23" s="8"/>
      <c r="U23" s="8" t="s">
        <v>38</v>
      </c>
      <c r="V23" s="10">
        <v>31827.74</v>
      </c>
      <c r="W23" s="10">
        <v>13724.12</v>
      </c>
      <c r="X23" s="10">
        <v>12673.81</v>
      </c>
      <c r="Y23" s="10">
        <v>5429.81</v>
      </c>
      <c r="Z23" s="8">
        <v>0</v>
      </c>
    </row>
    <row r="24" spans="1:26" ht="41.5" x14ac:dyDescent="0.35">
      <c r="A24" s="8" t="s">
        <v>27</v>
      </c>
      <c r="B24" s="8" t="s">
        <v>28</v>
      </c>
      <c r="C24" s="8" t="s">
        <v>29</v>
      </c>
      <c r="D24" s="8" t="s">
        <v>43</v>
      </c>
      <c r="E24" s="8" t="s">
        <v>44</v>
      </c>
      <c r="F24" s="8" t="s">
        <v>45</v>
      </c>
      <c r="G24" s="8">
        <v>2017</v>
      </c>
      <c r="H24" s="8" t="str">
        <f>CONCATENATE("34270426835")</f>
        <v>34270426835</v>
      </c>
      <c r="I24" s="8" t="s">
        <v>31</v>
      </c>
      <c r="J24" s="8" t="s">
        <v>32</v>
      </c>
      <c r="K24" s="8" t="str">
        <f t="shared" si="0"/>
        <v/>
      </c>
      <c r="L24" s="8" t="str">
        <f>CONCATENATE("4 4.1 2a")</f>
        <v>4 4.1 2a</v>
      </c>
      <c r="M24" s="8" t="str">
        <f>CONCATENATE("ZNTMLS71M41E507C")</f>
        <v>ZNTMLS71M41E507C</v>
      </c>
      <c r="N24" s="8" t="s">
        <v>78</v>
      </c>
      <c r="O24" s="8" t="s">
        <v>77</v>
      </c>
      <c r="P24" s="9">
        <v>45355</v>
      </c>
      <c r="Q24" s="8" t="s">
        <v>35</v>
      </c>
      <c r="R24" s="8" t="s">
        <v>48</v>
      </c>
      <c r="S24" s="8" t="s">
        <v>37</v>
      </c>
      <c r="T24" s="8"/>
      <c r="U24" s="8" t="s">
        <v>38</v>
      </c>
      <c r="V24" s="10">
        <v>7050.64</v>
      </c>
      <c r="W24" s="10">
        <v>3040.24</v>
      </c>
      <c r="X24" s="10">
        <v>2807.56</v>
      </c>
      <c r="Y24" s="10">
        <v>1202.8399999999999</v>
      </c>
      <c r="Z24" s="8">
        <v>0</v>
      </c>
    </row>
    <row r="25" spans="1:26" ht="41.5" x14ac:dyDescent="0.35">
      <c r="A25" s="8" t="s">
        <v>27</v>
      </c>
      <c r="B25" s="8" t="s">
        <v>28</v>
      </c>
      <c r="C25" s="8" t="s">
        <v>29</v>
      </c>
      <c r="D25" s="8" t="s">
        <v>43</v>
      </c>
      <c r="E25" s="8" t="s">
        <v>30</v>
      </c>
      <c r="F25" s="8" t="s">
        <v>30</v>
      </c>
      <c r="G25" s="8">
        <v>2017</v>
      </c>
      <c r="H25" s="8" t="str">
        <f>CONCATENATE("44270033416")</f>
        <v>44270033416</v>
      </c>
      <c r="I25" s="8" t="s">
        <v>31</v>
      </c>
      <c r="J25" s="8" t="s">
        <v>32</v>
      </c>
      <c r="K25" s="8" t="str">
        <f t="shared" si="0"/>
        <v/>
      </c>
      <c r="L25" s="8" t="str">
        <f>CONCATENATE("4 4.1 2a")</f>
        <v>4 4.1 2a</v>
      </c>
      <c r="M25" s="8" t="str">
        <f>CONCATENATE("SCCMRC85M12D542K")</f>
        <v>SCCMRC85M12D542K</v>
      </c>
      <c r="N25" s="8" t="s">
        <v>79</v>
      </c>
      <c r="O25" s="8" t="s">
        <v>77</v>
      </c>
      <c r="P25" s="9">
        <v>45355</v>
      </c>
      <c r="Q25" s="8" t="s">
        <v>35</v>
      </c>
      <c r="R25" s="8" t="s">
        <v>36</v>
      </c>
      <c r="S25" s="8" t="s">
        <v>37</v>
      </c>
      <c r="T25" s="8"/>
      <c r="U25" s="8" t="s">
        <v>38</v>
      </c>
      <c r="V25" s="10">
        <v>41725</v>
      </c>
      <c r="W25" s="10">
        <v>17991.82</v>
      </c>
      <c r="X25" s="10">
        <v>16614.900000000001</v>
      </c>
      <c r="Y25" s="10">
        <v>7118.28</v>
      </c>
      <c r="Z25" s="8">
        <v>0</v>
      </c>
    </row>
    <row r="26" spans="1:26" ht="41.5" x14ac:dyDescent="0.35">
      <c r="A26" s="8" t="s">
        <v>27</v>
      </c>
      <c r="B26" s="8" t="s">
        <v>28</v>
      </c>
      <c r="C26" s="8" t="s">
        <v>29</v>
      </c>
      <c r="D26" s="8" t="s">
        <v>39</v>
      </c>
      <c r="E26" s="8" t="s">
        <v>53</v>
      </c>
      <c r="F26" s="8" t="s">
        <v>80</v>
      </c>
      <c r="G26" s="8">
        <v>2017</v>
      </c>
      <c r="H26" s="8" t="str">
        <f>CONCATENATE("34270426843")</f>
        <v>34270426843</v>
      </c>
      <c r="I26" s="8" t="s">
        <v>31</v>
      </c>
      <c r="J26" s="8" t="s">
        <v>32</v>
      </c>
      <c r="K26" s="8" t="str">
        <f t="shared" si="0"/>
        <v/>
      </c>
      <c r="L26" s="8" t="str">
        <f>CONCATENATE("4 4.1 2a")</f>
        <v>4 4.1 2a</v>
      </c>
      <c r="M26" s="8" t="str">
        <f>CONCATENATE("VRDGNI67M21D749Z")</f>
        <v>VRDGNI67M21D749Z</v>
      </c>
      <c r="N26" s="8" t="s">
        <v>81</v>
      </c>
      <c r="O26" s="8" t="s">
        <v>77</v>
      </c>
      <c r="P26" s="9">
        <v>45355</v>
      </c>
      <c r="Q26" s="8" t="s">
        <v>35</v>
      </c>
      <c r="R26" s="8" t="s">
        <v>36</v>
      </c>
      <c r="S26" s="8" t="s">
        <v>37</v>
      </c>
      <c r="T26" s="8"/>
      <c r="U26" s="8" t="s">
        <v>38</v>
      </c>
      <c r="V26" s="10">
        <v>6850.25</v>
      </c>
      <c r="W26" s="10">
        <v>2953.83</v>
      </c>
      <c r="X26" s="10">
        <v>2727.77</v>
      </c>
      <c r="Y26" s="10">
        <v>1168.6500000000001</v>
      </c>
      <c r="Z26" s="8">
        <v>0</v>
      </c>
    </row>
    <row r="27" spans="1:26" ht="25.5" x14ac:dyDescent="0.35">
      <c r="A27" s="8" t="s">
        <v>27</v>
      </c>
      <c r="B27" s="8" t="s">
        <v>28</v>
      </c>
      <c r="C27" s="8" t="s">
        <v>29</v>
      </c>
      <c r="D27" s="8" t="s">
        <v>39</v>
      </c>
      <c r="E27" s="8" t="s">
        <v>30</v>
      </c>
      <c r="F27" s="8" t="s">
        <v>30</v>
      </c>
      <c r="G27" s="8">
        <v>2017</v>
      </c>
      <c r="H27" s="8" t="str">
        <f>CONCATENATE("34270426777")</f>
        <v>34270426777</v>
      </c>
      <c r="I27" s="8" t="s">
        <v>31</v>
      </c>
      <c r="J27" s="8" t="s">
        <v>32</v>
      </c>
      <c r="K27" s="8" t="str">
        <f t="shared" si="0"/>
        <v/>
      </c>
      <c r="L27" s="8" t="str">
        <f>CONCATENATE("7 7.6 4a")</f>
        <v>7 7.6 4a</v>
      </c>
      <c r="M27" s="8" t="str">
        <f>CONCATENATE("00212000418")</f>
        <v>00212000418</v>
      </c>
      <c r="N27" s="8" t="s">
        <v>82</v>
      </c>
      <c r="O27" s="8" t="s">
        <v>83</v>
      </c>
      <c r="P27" s="9">
        <v>45355</v>
      </c>
      <c r="Q27" s="8" t="s">
        <v>35</v>
      </c>
      <c r="R27" s="8" t="s">
        <v>48</v>
      </c>
      <c r="S27" s="8" t="s">
        <v>37</v>
      </c>
      <c r="T27" s="8"/>
      <c r="U27" s="8" t="s">
        <v>38</v>
      </c>
      <c r="V27" s="10">
        <v>59809.279999999999</v>
      </c>
      <c r="W27" s="10">
        <v>25789.759999999998</v>
      </c>
      <c r="X27" s="10">
        <v>23816.06</v>
      </c>
      <c r="Y27" s="10">
        <v>10203.459999999999</v>
      </c>
      <c r="Z27" s="8">
        <v>0</v>
      </c>
    </row>
    <row r="28" spans="1:26" ht="41.5" x14ac:dyDescent="0.35">
      <c r="A28" s="8" t="s">
        <v>27</v>
      </c>
      <c r="B28" s="8" t="s">
        <v>28</v>
      </c>
      <c r="C28" s="8" t="s">
        <v>29</v>
      </c>
      <c r="D28" s="8" t="s">
        <v>39</v>
      </c>
      <c r="E28" s="8" t="s">
        <v>56</v>
      </c>
      <c r="F28" s="8" t="s">
        <v>73</v>
      </c>
      <c r="G28" s="8">
        <v>2017</v>
      </c>
      <c r="H28" s="8" t="str">
        <f>CONCATENATE("34270426603")</f>
        <v>34270426603</v>
      </c>
      <c r="I28" s="8" t="s">
        <v>31</v>
      </c>
      <c r="J28" s="8" t="s">
        <v>32</v>
      </c>
      <c r="K28" s="8" t="str">
        <f t="shared" si="0"/>
        <v/>
      </c>
      <c r="L28" s="8" t="str">
        <f>CONCATENATE("3 3.1 3a")</f>
        <v>3 3.1 3a</v>
      </c>
      <c r="M28" s="8" t="str">
        <f>CONCATENATE("RSSLTT56A66F581T")</f>
        <v>RSSLTT56A66F581T</v>
      </c>
      <c r="N28" s="8" t="s">
        <v>84</v>
      </c>
      <c r="O28" s="8" t="s">
        <v>85</v>
      </c>
      <c r="P28" s="9">
        <v>45355</v>
      </c>
      <c r="Q28" s="8" t="s">
        <v>35</v>
      </c>
      <c r="R28" s="8" t="s">
        <v>48</v>
      </c>
      <c r="S28" s="8" t="s">
        <v>37</v>
      </c>
      <c r="T28" s="8"/>
      <c r="U28" s="8" t="s">
        <v>38</v>
      </c>
      <c r="V28" s="8">
        <v>928.8</v>
      </c>
      <c r="W28" s="8">
        <v>400.5</v>
      </c>
      <c r="X28" s="8">
        <v>369.85</v>
      </c>
      <c r="Y28" s="8">
        <v>158.44999999999999</v>
      </c>
      <c r="Z28" s="8">
        <v>0</v>
      </c>
    </row>
    <row r="29" spans="1:26" ht="41.5" x14ac:dyDescent="0.35">
      <c r="A29" s="8" t="s">
        <v>27</v>
      </c>
      <c r="B29" s="8" t="s">
        <v>28</v>
      </c>
      <c r="C29" s="8" t="s">
        <v>29</v>
      </c>
      <c r="D29" s="8" t="s">
        <v>39</v>
      </c>
      <c r="E29" s="8" t="s">
        <v>56</v>
      </c>
      <c r="F29" s="8" t="s">
        <v>86</v>
      </c>
      <c r="G29" s="8">
        <v>2017</v>
      </c>
      <c r="H29" s="8" t="str">
        <f>CONCATENATE("34270426611")</f>
        <v>34270426611</v>
      </c>
      <c r="I29" s="8" t="s">
        <v>50</v>
      </c>
      <c r="J29" s="8" t="s">
        <v>32</v>
      </c>
      <c r="K29" s="8" t="str">
        <f t="shared" si="0"/>
        <v/>
      </c>
      <c r="L29" s="8" t="str">
        <f>CONCATENATE("3 3.1 3a")</f>
        <v>3 3.1 3a</v>
      </c>
      <c r="M29" s="8" t="str">
        <f>CONCATENATE("VLNSNO81B41I459E")</f>
        <v>VLNSNO81B41I459E</v>
      </c>
      <c r="N29" s="8" t="s">
        <v>87</v>
      </c>
      <c r="O29" s="8" t="s">
        <v>85</v>
      </c>
      <c r="P29" s="9">
        <v>45355</v>
      </c>
      <c r="Q29" s="8" t="s">
        <v>35</v>
      </c>
      <c r="R29" s="8" t="s">
        <v>48</v>
      </c>
      <c r="S29" s="8" t="s">
        <v>37</v>
      </c>
      <c r="T29" s="8"/>
      <c r="U29" s="8" t="s">
        <v>38</v>
      </c>
      <c r="V29" s="10">
        <v>1192.5999999999999</v>
      </c>
      <c r="W29" s="8">
        <v>514.25</v>
      </c>
      <c r="X29" s="8">
        <v>474.89</v>
      </c>
      <c r="Y29" s="8">
        <v>203.46</v>
      </c>
      <c r="Z29" s="8">
        <v>0</v>
      </c>
    </row>
    <row r="30" spans="1:26" ht="25.5" x14ac:dyDescent="0.35">
      <c r="A30" s="8" t="s">
        <v>27</v>
      </c>
      <c r="B30" s="8" t="s">
        <v>28</v>
      </c>
      <c r="C30" s="8" t="s">
        <v>29</v>
      </c>
      <c r="D30" s="8" t="s">
        <v>49</v>
      </c>
      <c r="E30" s="8" t="s">
        <v>53</v>
      </c>
      <c r="F30" s="8" t="s">
        <v>88</v>
      </c>
      <c r="G30" s="8">
        <v>2017</v>
      </c>
      <c r="H30" s="8" t="str">
        <f>CONCATENATE("34270426751")</f>
        <v>34270426751</v>
      </c>
      <c r="I30" s="8" t="s">
        <v>50</v>
      </c>
      <c r="J30" s="8" t="s">
        <v>32</v>
      </c>
      <c r="K30" s="8" t="str">
        <f t="shared" si="0"/>
        <v/>
      </c>
      <c r="L30" s="8" t="str">
        <f>CONCATENATE("1 1.2 2a")</f>
        <v>1 1.2 2a</v>
      </c>
      <c r="M30" s="8" t="str">
        <f>CONCATENATE("80000890428")</f>
        <v>80000890428</v>
      </c>
      <c r="N30" s="8" t="s">
        <v>89</v>
      </c>
      <c r="O30" s="8" t="s">
        <v>90</v>
      </c>
      <c r="P30" s="9">
        <v>45355</v>
      </c>
      <c r="Q30" s="8" t="s">
        <v>35</v>
      </c>
      <c r="R30" s="8" t="s">
        <v>48</v>
      </c>
      <c r="S30" s="8" t="s">
        <v>37</v>
      </c>
      <c r="T30" s="8"/>
      <c r="U30" s="8" t="s">
        <v>38</v>
      </c>
      <c r="V30" s="10">
        <v>78061.14</v>
      </c>
      <c r="W30" s="10">
        <v>33659.96</v>
      </c>
      <c r="X30" s="10">
        <v>31083.95</v>
      </c>
      <c r="Y30" s="10">
        <v>13317.23</v>
      </c>
      <c r="Z30" s="8">
        <v>0</v>
      </c>
    </row>
    <row r="31" spans="1:26" ht="25.5" x14ac:dyDescent="0.35">
      <c r="A31" s="8" t="s">
        <v>27</v>
      </c>
      <c r="B31" s="8" t="s">
        <v>28</v>
      </c>
      <c r="C31" s="8" t="s">
        <v>29</v>
      </c>
      <c r="D31" s="8" t="s">
        <v>49</v>
      </c>
      <c r="E31" s="8" t="s">
        <v>53</v>
      </c>
      <c r="F31" s="8" t="s">
        <v>54</v>
      </c>
      <c r="G31" s="8">
        <v>2017</v>
      </c>
      <c r="H31" s="8" t="str">
        <f>CONCATENATE("34270426793")</f>
        <v>34270426793</v>
      </c>
      <c r="I31" s="8" t="s">
        <v>50</v>
      </c>
      <c r="J31" s="8" t="s">
        <v>32</v>
      </c>
      <c r="K31" s="8" t="str">
        <f t="shared" si="0"/>
        <v/>
      </c>
      <c r="L31" s="8" t="str">
        <f>CONCATENATE("6 6.1 2b")</f>
        <v>6 6.1 2b</v>
      </c>
      <c r="M31" s="8" t="str">
        <f>CONCATENATE("02366360440")</f>
        <v>02366360440</v>
      </c>
      <c r="N31" s="8" t="s">
        <v>91</v>
      </c>
      <c r="O31" s="8" t="s">
        <v>92</v>
      </c>
      <c r="P31" s="9">
        <v>45355</v>
      </c>
      <c r="Q31" s="8" t="s">
        <v>35</v>
      </c>
      <c r="R31" s="8" t="s">
        <v>48</v>
      </c>
      <c r="S31" s="8" t="s">
        <v>37</v>
      </c>
      <c r="T31" s="8"/>
      <c r="U31" s="8" t="s">
        <v>38</v>
      </c>
      <c r="V31" s="10">
        <v>12000</v>
      </c>
      <c r="W31" s="10">
        <v>5174.3999999999996</v>
      </c>
      <c r="X31" s="10">
        <v>4778.3999999999996</v>
      </c>
      <c r="Y31" s="10">
        <v>2047.2</v>
      </c>
      <c r="Z31" s="8">
        <v>0</v>
      </c>
    </row>
    <row r="32" spans="1:26" ht="41.5" x14ac:dyDescent="0.35">
      <c r="A32" s="8" t="s">
        <v>27</v>
      </c>
      <c r="B32" s="8" t="s">
        <v>28</v>
      </c>
      <c r="C32" s="8" t="s">
        <v>29</v>
      </c>
      <c r="D32" s="8" t="s">
        <v>49</v>
      </c>
      <c r="E32" s="8" t="s">
        <v>56</v>
      </c>
      <c r="F32" s="8" t="s">
        <v>93</v>
      </c>
      <c r="G32" s="8">
        <v>2017</v>
      </c>
      <c r="H32" s="8" t="str">
        <f>CONCATENATE("34270426819")</f>
        <v>34270426819</v>
      </c>
      <c r="I32" s="8" t="s">
        <v>31</v>
      </c>
      <c r="J32" s="8" t="s">
        <v>32</v>
      </c>
      <c r="K32" s="8" t="str">
        <f t="shared" si="0"/>
        <v/>
      </c>
      <c r="L32" s="8" t="str">
        <f>CONCATENATE("6 6.4 2a")</f>
        <v>6 6.4 2a</v>
      </c>
      <c r="M32" s="8" t="str">
        <f>CONCATENATE("RNLSMN74B47I608C")</f>
        <v>RNLSMN74B47I608C</v>
      </c>
      <c r="N32" s="8" t="s">
        <v>94</v>
      </c>
      <c r="O32" s="8" t="s">
        <v>95</v>
      </c>
      <c r="P32" s="9">
        <v>45355</v>
      </c>
      <c r="Q32" s="8" t="s">
        <v>35</v>
      </c>
      <c r="R32" s="8" t="s">
        <v>36</v>
      </c>
      <c r="S32" s="8" t="s">
        <v>37</v>
      </c>
      <c r="T32" s="8"/>
      <c r="U32" s="8" t="s">
        <v>38</v>
      </c>
      <c r="V32" s="10">
        <v>48868.45</v>
      </c>
      <c r="W32" s="10">
        <v>21072.080000000002</v>
      </c>
      <c r="X32" s="10">
        <v>19459.419999999998</v>
      </c>
      <c r="Y32" s="10">
        <v>8336.9500000000007</v>
      </c>
      <c r="Z32" s="8">
        <v>0</v>
      </c>
    </row>
    <row r="33" spans="1:26" ht="49.5" x14ac:dyDescent="0.35">
      <c r="A33" s="8" t="s">
        <v>27</v>
      </c>
      <c r="B33" s="8" t="s">
        <v>28</v>
      </c>
      <c r="C33" s="8" t="s">
        <v>29</v>
      </c>
      <c r="D33" s="8" t="s">
        <v>39</v>
      </c>
      <c r="E33" s="8" t="s">
        <v>30</v>
      </c>
      <c r="F33" s="8" t="s">
        <v>30</v>
      </c>
      <c r="G33" s="8">
        <v>2017</v>
      </c>
      <c r="H33" s="8" t="str">
        <f>CONCATENATE("44270030982")</f>
        <v>44270030982</v>
      </c>
      <c r="I33" s="8" t="s">
        <v>31</v>
      </c>
      <c r="J33" s="8" t="s">
        <v>32</v>
      </c>
      <c r="K33" s="8" t="str">
        <f t="shared" si="0"/>
        <v/>
      </c>
      <c r="L33" s="8" t="str">
        <f>CONCATENATE("4 4.1 2a")</f>
        <v>4 4.1 2a</v>
      </c>
      <c r="M33" s="8" t="str">
        <f>CONCATENATE("MRNMRT60B64A740Q")</f>
        <v>MRNMRT60B64A740Q</v>
      </c>
      <c r="N33" s="8" t="s">
        <v>96</v>
      </c>
      <c r="O33" s="8" t="s">
        <v>97</v>
      </c>
      <c r="P33" s="9">
        <v>45355</v>
      </c>
      <c r="Q33" s="8" t="s">
        <v>35</v>
      </c>
      <c r="R33" s="8" t="s">
        <v>42</v>
      </c>
      <c r="S33" s="8" t="s">
        <v>37</v>
      </c>
      <c r="T33" s="8"/>
      <c r="U33" s="8" t="s">
        <v>38</v>
      </c>
      <c r="V33" s="10">
        <v>53000</v>
      </c>
      <c r="W33" s="10">
        <v>22853.599999999999</v>
      </c>
      <c r="X33" s="10">
        <v>21104.6</v>
      </c>
      <c r="Y33" s="10">
        <v>9041.7999999999993</v>
      </c>
      <c r="Z33" s="8">
        <v>0</v>
      </c>
    </row>
    <row r="34" spans="1:26" ht="25.5" x14ac:dyDescent="0.35">
      <c r="A34" s="8" t="s">
        <v>27</v>
      </c>
      <c r="B34" s="8" t="s">
        <v>28</v>
      </c>
      <c r="C34" s="8" t="s">
        <v>29</v>
      </c>
      <c r="D34" s="8" t="s">
        <v>49</v>
      </c>
      <c r="E34" s="8" t="s">
        <v>53</v>
      </c>
      <c r="F34" s="8" t="s">
        <v>54</v>
      </c>
      <c r="G34" s="8">
        <v>2017</v>
      </c>
      <c r="H34" s="8" t="str">
        <f>CONCATENATE("34270426801")</f>
        <v>34270426801</v>
      </c>
      <c r="I34" s="8" t="s">
        <v>50</v>
      </c>
      <c r="J34" s="8" t="s">
        <v>32</v>
      </c>
      <c r="K34" s="8" t="str">
        <f t="shared" si="0"/>
        <v/>
      </c>
      <c r="L34" s="8" t="str">
        <f>CONCATENATE("4 4.1 2a")</f>
        <v>4 4.1 2a</v>
      </c>
      <c r="M34" s="8" t="str">
        <f>CONCATENATE("02366360440")</f>
        <v>02366360440</v>
      </c>
      <c r="N34" s="8" t="s">
        <v>91</v>
      </c>
      <c r="O34" s="8" t="s">
        <v>98</v>
      </c>
      <c r="P34" s="9">
        <v>45355</v>
      </c>
      <c r="Q34" s="8" t="s">
        <v>35</v>
      </c>
      <c r="R34" s="8" t="s">
        <v>48</v>
      </c>
      <c r="S34" s="8" t="s">
        <v>37</v>
      </c>
      <c r="T34" s="8"/>
      <c r="U34" s="8" t="s">
        <v>38</v>
      </c>
      <c r="V34" s="10">
        <v>63216.52</v>
      </c>
      <c r="W34" s="10">
        <v>27258.959999999999</v>
      </c>
      <c r="X34" s="10">
        <v>25172.82</v>
      </c>
      <c r="Y34" s="10">
        <v>10784.74</v>
      </c>
      <c r="Z34" s="8">
        <v>0</v>
      </c>
    </row>
    <row r="35" spans="1:26" ht="49.5" x14ac:dyDescent="0.35">
      <c r="A35" s="8" t="s">
        <v>27</v>
      </c>
      <c r="B35" s="8" t="s">
        <v>28</v>
      </c>
      <c r="C35" s="8" t="s">
        <v>29</v>
      </c>
      <c r="D35" s="8" t="s">
        <v>60</v>
      </c>
      <c r="E35" s="8" t="s">
        <v>53</v>
      </c>
      <c r="F35" s="8" t="s">
        <v>99</v>
      </c>
      <c r="G35" s="8">
        <v>2017</v>
      </c>
      <c r="H35" s="8" t="str">
        <f>CONCATENATE("34270426827")</f>
        <v>34270426827</v>
      </c>
      <c r="I35" s="8" t="s">
        <v>31</v>
      </c>
      <c r="J35" s="8" t="s">
        <v>32</v>
      </c>
      <c r="K35" s="8" t="str">
        <f t="shared" si="0"/>
        <v/>
      </c>
      <c r="L35" s="8" t="str">
        <f>CONCATENATE("4 4.1 2a")</f>
        <v>4 4.1 2a</v>
      </c>
      <c r="M35" s="8" t="str">
        <f>CONCATENATE("CLOGNN66R25B474G")</f>
        <v>CLOGNN66R25B474G</v>
      </c>
      <c r="N35" s="8" t="s">
        <v>100</v>
      </c>
      <c r="O35" s="8" t="s">
        <v>77</v>
      </c>
      <c r="P35" s="9">
        <v>45355</v>
      </c>
      <c r="Q35" s="8" t="s">
        <v>35</v>
      </c>
      <c r="R35" s="8" t="s">
        <v>48</v>
      </c>
      <c r="S35" s="8" t="s">
        <v>37</v>
      </c>
      <c r="T35" s="8"/>
      <c r="U35" s="8" t="s">
        <v>38</v>
      </c>
      <c r="V35" s="10">
        <v>7280.55</v>
      </c>
      <c r="W35" s="10">
        <v>3139.37</v>
      </c>
      <c r="X35" s="10">
        <v>2899.12</v>
      </c>
      <c r="Y35" s="10">
        <v>1242.06</v>
      </c>
      <c r="Z35" s="8">
        <v>0</v>
      </c>
    </row>
    <row r="36" spans="1:26" ht="41.5" x14ac:dyDescent="0.35">
      <c r="A36" s="8" t="s">
        <v>27</v>
      </c>
      <c r="B36" s="8" t="s">
        <v>28</v>
      </c>
      <c r="C36" s="8" t="s">
        <v>29</v>
      </c>
      <c r="D36" s="8" t="s">
        <v>43</v>
      </c>
      <c r="E36" s="8" t="s">
        <v>30</v>
      </c>
      <c r="F36" s="8" t="s">
        <v>30</v>
      </c>
      <c r="G36" s="8">
        <v>2017</v>
      </c>
      <c r="H36" s="8" t="str">
        <f>CONCATENATE("44270033424")</f>
        <v>44270033424</v>
      </c>
      <c r="I36" s="8" t="s">
        <v>31</v>
      </c>
      <c r="J36" s="8" t="s">
        <v>32</v>
      </c>
      <c r="K36" s="8" t="str">
        <f t="shared" si="0"/>
        <v/>
      </c>
      <c r="L36" s="8" t="str">
        <f>CONCATENATE("4 4.1 2a")</f>
        <v>4 4.1 2a</v>
      </c>
      <c r="M36" s="8" t="str">
        <f>CONCATENATE("PLFGNN82C19A462E")</f>
        <v>PLFGNN82C19A462E</v>
      </c>
      <c r="N36" s="8" t="s">
        <v>101</v>
      </c>
      <c r="O36" s="8" t="s">
        <v>77</v>
      </c>
      <c r="P36" s="9">
        <v>45355</v>
      </c>
      <c r="Q36" s="8" t="s">
        <v>35</v>
      </c>
      <c r="R36" s="8" t="s">
        <v>36</v>
      </c>
      <c r="S36" s="8" t="s">
        <v>37</v>
      </c>
      <c r="T36" s="8"/>
      <c r="U36" s="8" t="s">
        <v>38</v>
      </c>
      <c r="V36" s="10">
        <v>35046.769999999997</v>
      </c>
      <c r="W36" s="10">
        <v>15112.17</v>
      </c>
      <c r="X36" s="10">
        <v>13955.62</v>
      </c>
      <c r="Y36" s="10">
        <v>5978.98</v>
      </c>
      <c r="Z36" s="8">
        <v>0</v>
      </c>
    </row>
    <row r="37" spans="1:26" ht="41.5" x14ac:dyDescent="0.35">
      <c r="A37" s="8" t="s">
        <v>27</v>
      </c>
      <c r="B37" s="8" t="s">
        <v>28</v>
      </c>
      <c r="C37" s="8" t="s">
        <v>29</v>
      </c>
      <c r="D37" s="8" t="s">
        <v>60</v>
      </c>
      <c r="E37" s="8" t="s">
        <v>102</v>
      </c>
      <c r="F37" s="8" t="s">
        <v>103</v>
      </c>
      <c r="G37" s="8">
        <v>2017</v>
      </c>
      <c r="H37" s="8" t="str">
        <f>CONCATENATE("34270426629")</f>
        <v>34270426629</v>
      </c>
      <c r="I37" s="8" t="s">
        <v>31</v>
      </c>
      <c r="J37" s="8" t="s">
        <v>32</v>
      </c>
      <c r="K37" s="8" t="str">
        <f t="shared" si="0"/>
        <v/>
      </c>
      <c r="L37" s="8" t="str">
        <f>CONCATENATE("8 8.5 4a")</f>
        <v>8 8.5 4a</v>
      </c>
      <c r="M37" s="8" t="str">
        <f>CONCATENATE("CSRCST81H21E388L")</f>
        <v>CSRCST81H21E388L</v>
      </c>
      <c r="N37" s="8" t="s">
        <v>104</v>
      </c>
      <c r="O37" s="8" t="s">
        <v>105</v>
      </c>
      <c r="P37" s="9">
        <v>45355</v>
      </c>
      <c r="Q37" s="8" t="s">
        <v>35</v>
      </c>
      <c r="R37" s="8" t="s">
        <v>48</v>
      </c>
      <c r="S37" s="8" t="s">
        <v>37</v>
      </c>
      <c r="T37" s="8"/>
      <c r="U37" s="8" t="s">
        <v>38</v>
      </c>
      <c r="V37" s="10">
        <v>105377.78</v>
      </c>
      <c r="W37" s="10">
        <v>45438.9</v>
      </c>
      <c r="X37" s="10">
        <v>41961.43</v>
      </c>
      <c r="Y37" s="10">
        <v>17977.45</v>
      </c>
      <c r="Z37" s="8">
        <v>0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2024-03-21T08:00:01Z</dcterms:created>
  <dcterms:modified xsi:type="dcterms:W3CDTF">2024-03-21T08:00:01Z</dcterms:modified>
</cp:coreProperties>
</file>