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geagov-my.sharepoint.com/personal/gi_greco_agea_gov_it/Documents/Decreti/674/SPACCHETTAMENTO/"/>
    </mc:Choice>
  </mc:AlternateContent>
  <xr:revisionPtr revIDLastSave="0" documentId="8_{02C8F881-E0FE-4954-93BC-AC71AFB63D4A}" xr6:coauthVersionLast="47" xr6:coauthVersionMax="47" xr10:uidLastSave="{00000000-0000-0000-0000-000000000000}"/>
  <bookViews>
    <workbookView xWindow="-108" yWindow="-108" windowWidth="23256" windowHeight="12576" xr2:uid="{EA377B12-21F4-497B-89D2-F33AD85C7D3D}"/>
  </bookViews>
  <sheets>
    <sheet name="MARCH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88" i="1" l="1"/>
  <c r="L188" i="1"/>
  <c r="K188" i="1"/>
  <c r="H188" i="1"/>
  <c r="M187" i="1"/>
  <c r="L187" i="1"/>
  <c r="K187" i="1"/>
  <c r="H187" i="1"/>
  <c r="M186" i="1"/>
  <c r="L186" i="1"/>
  <c r="K186" i="1"/>
  <c r="H186" i="1"/>
  <c r="M185" i="1"/>
  <c r="L185" i="1"/>
  <c r="K185" i="1"/>
  <c r="H185" i="1"/>
  <c r="M184" i="1"/>
  <c r="L184" i="1"/>
  <c r="K184" i="1"/>
  <c r="H184" i="1"/>
  <c r="M183" i="1"/>
  <c r="L183" i="1"/>
  <c r="K183" i="1"/>
  <c r="H183" i="1"/>
  <c r="M182" i="1"/>
  <c r="L182" i="1"/>
  <c r="K182" i="1"/>
  <c r="H182" i="1"/>
  <c r="M181" i="1"/>
  <c r="L181" i="1"/>
  <c r="K181" i="1"/>
  <c r="H181" i="1"/>
  <c r="M180" i="1"/>
  <c r="L180" i="1"/>
  <c r="K180" i="1"/>
  <c r="H180" i="1"/>
  <c r="M179" i="1"/>
  <c r="L179" i="1"/>
  <c r="K179" i="1"/>
  <c r="H179" i="1"/>
  <c r="M178" i="1"/>
  <c r="L178" i="1"/>
  <c r="K178" i="1"/>
  <c r="H178" i="1"/>
  <c r="M177" i="1"/>
  <c r="L177" i="1"/>
  <c r="K177" i="1"/>
  <c r="H177" i="1"/>
  <c r="M176" i="1"/>
  <c r="L176" i="1"/>
  <c r="K176" i="1"/>
  <c r="H176" i="1"/>
  <c r="M175" i="1"/>
  <c r="L175" i="1"/>
  <c r="K175" i="1"/>
  <c r="H175" i="1"/>
  <c r="M174" i="1"/>
  <c r="L174" i="1"/>
  <c r="K174" i="1"/>
  <c r="H174" i="1"/>
  <c r="M173" i="1"/>
  <c r="L173" i="1"/>
  <c r="K173" i="1"/>
  <c r="H173" i="1"/>
  <c r="M172" i="1"/>
  <c r="L172" i="1"/>
  <c r="K172" i="1"/>
  <c r="H172" i="1"/>
  <c r="M171" i="1"/>
  <c r="L171" i="1"/>
  <c r="K171" i="1"/>
  <c r="H171" i="1"/>
  <c r="M170" i="1"/>
  <c r="L170" i="1"/>
  <c r="K170" i="1"/>
  <c r="H170" i="1"/>
  <c r="M169" i="1"/>
  <c r="L169" i="1"/>
  <c r="K169" i="1"/>
  <c r="H169" i="1"/>
  <c r="M168" i="1"/>
  <c r="L168" i="1"/>
  <c r="K168" i="1"/>
  <c r="H168" i="1"/>
  <c r="M167" i="1"/>
  <c r="L167" i="1"/>
  <c r="K167" i="1"/>
  <c r="H167" i="1"/>
  <c r="M166" i="1"/>
  <c r="L166" i="1"/>
  <c r="K166" i="1"/>
  <c r="H166" i="1"/>
  <c r="M165" i="1"/>
  <c r="L165" i="1"/>
  <c r="K165" i="1"/>
  <c r="H165" i="1"/>
  <c r="M164" i="1"/>
  <c r="L164" i="1"/>
  <c r="K164" i="1"/>
  <c r="H164" i="1"/>
  <c r="M163" i="1"/>
  <c r="L163" i="1"/>
  <c r="K163" i="1"/>
  <c r="H163" i="1"/>
  <c r="M162" i="1"/>
  <c r="L162" i="1"/>
  <c r="K162" i="1"/>
  <c r="H162" i="1"/>
  <c r="M161" i="1"/>
  <c r="L161" i="1"/>
  <c r="K161" i="1"/>
  <c r="H161" i="1"/>
  <c r="M160" i="1"/>
  <c r="L160" i="1"/>
  <c r="K160" i="1"/>
  <c r="H160" i="1"/>
  <c r="M159" i="1"/>
  <c r="L159" i="1"/>
  <c r="K159" i="1"/>
  <c r="H159" i="1"/>
  <c r="M158" i="1"/>
  <c r="L158" i="1"/>
  <c r="K158" i="1"/>
  <c r="H158" i="1"/>
  <c r="M157" i="1"/>
  <c r="L157" i="1"/>
  <c r="K157" i="1"/>
  <c r="H157" i="1"/>
  <c r="M156" i="1"/>
  <c r="L156" i="1"/>
  <c r="K156" i="1"/>
  <c r="H156" i="1"/>
  <c r="M155" i="1"/>
  <c r="L155" i="1"/>
  <c r="K155" i="1"/>
  <c r="H155" i="1"/>
  <c r="M154" i="1"/>
  <c r="L154" i="1"/>
  <c r="K154" i="1"/>
  <c r="H154" i="1"/>
  <c r="M153" i="1"/>
  <c r="L153" i="1"/>
  <c r="K153" i="1"/>
  <c r="H153" i="1"/>
  <c r="M152" i="1"/>
  <c r="L152" i="1"/>
  <c r="K152" i="1"/>
  <c r="H152" i="1"/>
  <c r="M151" i="1"/>
  <c r="L151" i="1"/>
  <c r="K151" i="1"/>
  <c r="H151" i="1"/>
  <c r="M150" i="1"/>
  <c r="L150" i="1"/>
  <c r="K150" i="1"/>
  <c r="H150" i="1"/>
  <c r="M149" i="1"/>
  <c r="L149" i="1"/>
  <c r="K149" i="1"/>
  <c r="H149" i="1"/>
  <c r="M148" i="1"/>
  <c r="L148" i="1"/>
  <c r="K148" i="1"/>
  <c r="H148" i="1"/>
  <c r="M147" i="1"/>
  <c r="L147" i="1"/>
  <c r="K147" i="1"/>
  <c r="H147" i="1"/>
  <c r="M146" i="1"/>
  <c r="L146" i="1"/>
  <c r="K146" i="1"/>
  <c r="H146" i="1"/>
  <c r="M145" i="1"/>
  <c r="L145" i="1"/>
  <c r="K145" i="1"/>
  <c r="H145" i="1"/>
  <c r="M144" i="1"/>
  <c r="L144" i="1"/>
  <c r="K144" i="1"/>
  <c r="H144" i="1"/>
  <c r="M143" i="1"/>
  <c r="L143" i="1"/>
  <c r="K143" i="1"/>
  <c r="H143" i="1"/>
  <c r="M142" i="1"/>
  <c r="L142" i="1"/>
  <c r="K142" i="1"/>
  <c r="H142" i="1"/>
  <c r="M141" i="1"/>
  <c r="L141" i="1"/>
  <c r="K141" i="1"/>
  <c r="H141" i="1"/>
  <c r="M140" i="1"/>
  <c r="L140" i="1"/>
  <c r="K140" i="1"/>
  <c r="H140" i="1"/>
  <c r="M139" i="1"/>
  <c r="L139" i="1"/>
  <c r="K139" i="1"/>
  <c r="H139" i="1"/>
  <c r="M138" i="1"/>
  <c r="L138" i="1"/>
  <c r="K138" i="1"/>
  <c r="H138" i="1"/>
  <c r="M137" i="1"/>
  <c r="L137" i="1"/>
  <c r="K137" i="1"/>
  <c r="H137" i="1"/>
  <c r="M136" i="1"/>
  <c r="L136" i="1"/>
  <c r="K136" i="1"/>
  <c r="H136" i="1"/>
  <c r="M135" i="1"/>
  <c r="L135" i="1"/>
  <c r="K135" i="1"/>
  <c r="H135" i="1"/>
  <c r="M134" i="1"/>
  <c r="L134" i="1"/>
  <c r="K134" i="1"/>
  <c r="H134" i="1"/>
  <c r="M133" i="1"/>
  <c r="L133" i="1"/>
  <c r="K133" i="1"/>
  <c r="H133" i="1"/>
  <c r="M132" i="1"/>
  <c r="L132" i="1"/>
  <c r="K132" i="1"/>
  <c r="H132" i="1"/>
  <c r="M131" i="1"/>
  <c r="L131" i="1"/>
  <c r="K131" i="1"/>
  <c r="H131" i="1"/>
  <c r="M130" i="1"/>
  <c r="L130" i="1"/>
  <c r="K130" i="1"/>
  <c r="H130" i="1"/>
  <c r="M129" i="1"/>
  <c r="L129" i="1"/>
  <c r="K129" i="1"/>
  <c r="H129" i="1"/>
  <c r="M128" i="1"/>
  <c r="L128" i="1"/>
  <c r="K128" i="1"/>
  <c r="H128" i="1"/>
  <c r="M127" i="1"/>
  <c r="L127" i="1"/>
  <c r="K127" i="1"/>
  <c r="H127" i="1"/>
  <c r="M126" i="1"/>
  <c r="L126" i="1"/>
  <c r="K126" i="1"/>
  <c r="H126" i="1"/>
  <c r="M125" i="1"/>
  <c r="L125" i="1"/>
  <c r="K125" i="1"/>
  <c r="H125" i="1"/>
  <c r="M124" i="1"/>
  <c r="L124" i="1"/>
  <c r="K124" i="1"/>
  <c r="H124" i="1"/>
  <c r="M123" i="1"/>
  <c r="L123" i="1"/>
  <c r="K123" i="1"/>
  <c r="H123" i="1"/>
  <c r="M122" i="1"/>
  <c r="L122" i="1"/>
  <c r="K122" i="1"/>
  <c r="H122" i="1"/>
  <c r="M121" i="1"/>
  <c r="L121" i="1"/>
  <c r="K121" i="1"/>
  <c r="H121" i="1"/>
  <c r="M120" i="1"/>
  <c r="L120" i="1"/>
  <c r="K120" i="1"/>
  <c r="H120" i="1"/>
  <c r="M119" i="1"/>
  <c r="L119" i="1"/>
  <c r="K119" i="1"/>
  <c r="H119" i="1"/>
  <c r="M118" i="1"/>
  <c r="L118" i="1"/>
  <c r="K118" i="1"/>
  <c r="H118" i="1"/>
  <c r="M117" i="1"/>
  <c r="L117" i="1"/>
  <c r="K117" i="1"/>
  <c r="H117" i="1"/>
  <c r="M116" i="1"/>
  <c r="L116" i="1"/>
  <c r="K116" i="1"/>
  <c r="H116" i="1"/>
  <c r="M115" i="1"/>
  <c r="L115" i="1"/>
  <c r="K115" i="1"/>
  <c r="H115" i="1"/>
  <c r="M114" i="1"/>
  <c r="L114" i="1"/>
  <c r="K114" i="1"/>
  <c r="H114" i="1"/>
  <c r="M113" i="1"/>
  <c r="L113" i="1"/>
  <c r="K113" i="1"/>
  <c r="H113" i="1"/>
  <c r="M112" i="1"/>
  <c r="L112" i="1"/>
  <c r="K112" i="1"/>
  <c r="H112" i="1"/>
  <c r="M111" i="1"/>
  <c r="L111" i="1"/>
  <c r="K111" i="1"/>
  <c r="H111" i="1"/>
  <c r="M110" i="1"/>
  <c r="L110" i="1"/>
  <c r="K110" i="1"/>
  <c r="H110" i="1"/>
  <c r="M109" i="1"/>
  <c r="L109" i="1"/>
  <c r="K109" i="1"/>
  <c r="H109" i="1"/>
  <c r="M108" i="1"/>
  <c r="L108" i="1"/>
  <c r="K108" i="1"/>
  <c r="H108" i="1"/>
  <c r="M107" i="1"/>
  <c r="L107" i="1"/>
  <c r="K107" i="1"/>
  <c r="H107" i="1"/>
  <c r="M106" i="1"/>
  <c r="L106" i="1"/>
  <c r="K106" i="1"/>
  <c r="H106" i="1"/>
  <c r="M105" i="1"/>
  <c r="L105" i="1"/>
  <c r="K105" i="1"/>
  <c r="H105" i="1"/>
  <c r="M104" i="1"/>
  <c r="L104" i="1"/>
  <c r="K104" i="1"/>
  <c r="H104" i="1"/>
  <c r="M103" i="1"/>
  <c r="L103" i="1"/>
  <c r="K103" i="1"/>
  <c r="H103" i="1"/>
  <c r="M102" i="1"/>
  <c r="L102" i="1"/>
  <c r="K102" i="1"/>
  <c r="H102" i="1"/>
  <c r="M101" i="1"/>
  <c r="L101" i="1"/>
  <c r="K101" i="1"/>
  <c r="H101" i="1"/>
  <c r="M100" i="1"/>
  <c r="L100" i="1"/>
  <c r="K100" i="1"/>
  <c r="H100" i="1"/>
  <c r="M99" i="1"/>
  <c r="L99" i="1"/>
  <c r="K99" i="1"/>
  <c r="H99" i="1"/>
  <c r="M98" i="1"/>
  <c r="L98" i="1"/>
  <c r="K98" i="1"/>
  <c r="H98" i="1"/>
  <c r="M97" i="1"/>
  <c r="L97" i="1"/>
  <c r="K97" i="1"/>
  <c r="H97" i="1"/>
  <c r="M96" i="1"/>
  <c r="L96" i="1"/>
  <c r="K96" i="1"/>
  <c r="H96" i="1"/>
  <c r="M95" i="1"/>
  <c r="L95" i="1"/>
  <c r="K95" i="1"/>
  <c r="H95" i="1"/>
  <c r="M94" i="1"/>
  <c r="L94" i="1"/>
  <c r="K94" i="1"/>
  <c r="H94" i="1"/>
  <c r="M93" i="1"/>
  <c r="L93" i="1"/>
  <c r="K93" i="1"/>
  <c r="H93" i="1"/>
  <c r="M92" i="1"/>
  <c r="L92" i="1"/>
  <c r="K92" i="1"/>
  <c r="H92" i="1"/>
  <c r="M91" i="1"/>
  <c r="L91" i="1"/>
  <c r="K91" i="1"/>
  <c r="H91" i="1"/>
  <c r="M90" i="1"/>
  <c r="L90" i="1"/>
  <c r="K90" i="1"/>
  <c r="H90" i="1"/>
  <c r="M89" i="1"/>
  <c r="L89" i="1"/>
  <c r="K89" i="1"/>
  <c r="H89" i="1"/>
  <c r="M88" i="1"/>
  <c r="L88" i="1"/>
  <c r="K88" i="1"/>
  <c r="H88" i="1"/>
  <c r="M87" i="1"/>
  <c r="L87" i="1"/>
  <c r="K87" i="1"/>
  <c r="H87" i="1"/>
  <c r="M86" i="1"/>
  <c r="L86" i="1"/>
  <c r="K86" i="1"/>
  <c r="H86" i="1"/>
  <c r="M85" i="1"/>
  <c r="L85" i="1"/>
  <c r="K85" i="1"/>
  <c r="H85" i="1"/>
  <c r="M84" i="1"/>
  <c r="L84" i="1"/>
  <c r="K84" i="1"/>
  <c r="H84" i="1"/>
  <c r="M83" i="1"/>
  <c r="L83" i="1"/>
  <c r="K83" i="1"/>
  <c r="H83" i="1"/>
  <c r="M82" i="1"/>
  <c r="L82" i="1"/>
  <c r="K82" i="1"/>
  <c r="H82" i="1"/>
  <c r="M81" i="1"/>
  <c r="L81" i="1"/>
  <c r="K81" i="1"/>
  <c r="H81" i="1"/>
  <c r="M80" i="1"/>
  <c r="L80" i="1"/>
  <c r="K80" i="1"/>
  <c r="H80" i="1"/>
  <c r="M79" i="1"/>
  <c r="L79" i="1"/>
  <c r="K79" i="1"/>
  <c r="H79" i="1"/>
  <c r="M78" i="1"/>
  <c r="L78" i="1"/>
  <c r="K78" i="1"/>
  <c r="H78" i="1"/>
  <c r="M77" i="1"/>
  <c r="L77" i="1"/>
  <c r="K77" i="1"/>
  <c r="H77" i="1"/>
  <c r="M76" i="1"/>
  <c r="L76" i="1"/>
  <c r="K76" i="1"/>
  <c r="H76" i="1"/>
  <c r="M75" i="1"/>
  <c r="L75" i="1"/>
  <c r="K75" i="1"/>
  <c r="H75" i="1"/>
  <c r="M74" i="1"/>
  <c r="L74" i="1"/>
  <c r="K74" i="1"/>
  <c r="H74" i="1"/>
  <c r="M73" i="1"/>
  <c r="L73" i="1"/>
  <c r="K73" i="1"/>
  <c r="H73" i="1"/>
  <c r="M72" i="1"/>
  <c r="L72" i="1"/>
  <c r="K72" i="1"/>
  <c r="H72" i="1"/>
  <c r="M71" i="1"/>
  <c r="L71" i="1"/>
  <c r="K71" i="1"/>
  <c r="H71" i="1"/>
  <c r="M70" i="1"/>
  <c r="L70" i="1"/>
  <c r="K70" i="1"/>
  <c r="H70" i="1"/>
  <c r="M69" i="1"/>
  <c r="L69" i="1"/>
  <c r="K69" i="1"/>
  <c r="H69" i="1"/>
  <c r="M68" i="1"/>
  <c r="L68" i="1"/>
  <c r="K68" i="1"/>
  <c r="H68" i="1"/>
  <c r="M67" i="1"/>
  <c r="L67" i="1"/>
  <c r="K67" i="1"/>
  <c r="H67" i="1"/>
  <c r="M66" i="1"/>
  <c r="L66" i="1"/>
  <c r="K66" i="1"/>
  <c r="H66" i="1"/>
  <c r="M65" i="1"/>
  <c r="L65" i="1"/>
  <c r="K65" i="1"/>
  <c r="H65" i="1"/>
  <c r="M64" i="1"/>
  <c r="L64" i="1"/>
  <c r="K64" i="1"/>
  <c r="H64" i="1"/>
  <c r="M63" i="1"/>
  <c r="L63" i="1"/>
  <c r="K63" i="1"/>
  <c r="H63" i="1"/>
  <c r="M62" i="1"/>
  <c r="L62" i="1"/>
  <c r="K62" i="1"/>
  <c r="H62" i="1"/>
  <c r="M61" i="1"/>
  <c r="L61" i="1"/>
  <c r="K61" i="1"/>
  <c r="H61" i="1"/>
  <c r="M60" i="1"/>
  <c r="L60" i="1"/>
  <c r="K60" i="1"/>
  <c r="H60" i="1"/>
  <c r="M59" i="1"/>
  <c r="L59" i="1"/>
  <c r="K59" i="1"/>
  <c r="H59" i="1"/>
  <c r="M58" i="1"/>
  <c r="L58" i="1"/>
  <c r="K58" i="1"/>
  <c r="H58" i="1"/>
  <c r="M57" i="1"/>
  <c r="L57" i="1"/>
  <c r="K57" i="1"/>
  <c r="H57" i="1"/>
  <c r="M56" i="1"/>
  <c r="L56" i="1"/>
  <c r="K56" i="1"/>
  <c r="H56" i="1"/>
  <c r="M55" i="1"/>
  <c r="L55" i="1"/>
  <c r="K55" i="1"/>
  <c r="H55" i="1"/>
  <c r="M54" i="1"/>
  <c r="L54" i="1"/>
  <c r="K54" i="1"/>
  <c r="H54" i="1"/>
  <c r="M53" i="1"/>
  <c r="L53" i="1"/>
  <c r="K53" i="1"/>
  <c r="H53" i="1"/>
  <c r="M52" i="1"/>
  <c r="L52" i="1"/>
  <c r="K52" i="1"/>
  <c r="H52" i="1"/>
  <c r="M51" i="1"/>
  <c r="L51" i="1"/>
  <c r="K51" i="1"/>
  <c r="H51" i="1"/>
  <c r="M50" i="1"/>
  <c r="L50" i="1"/>
  <c r="K50" i="1"/>
  <c r="H50" i="1"/>
  <c r="M49" i="1"/>
  <c r="L49" i="1"/>
  <c r="K49" i="1"/>
  <c r="H49" i="1"/>
  <c r="M48" i="1"/>
  <c r="L48" i="1"/>
  <c r="K48" i="1"/>
  <c r="H48" i="1"/>
  <c r="M47" i="1"/>
  <c r="L47" i="1"/>
  <c r="K47" i="1"/>
  <c r="H47" i="1"/>
  <c r="M46" i="1"/>
  <c r="L46" i="1"/>
  <c r="K46" i="1"/>
  <c r="H46" i="1"/>
  <c r="M45" i="1"/>
  <c r="L45" i="1"/>
  <c r="K45" i="1"/>
  <c r="H45" i="1"/>
  <c r="M44" i="1"/>
  <c r="L44" i="1"/>
  <c r="K44" i="1"/>
  <c r="H44" i="1"/>
  <c r="M43" i="1"/>
  <c r="L43" i="1"/>
  <c r="K43" i="1"/>
  <c r="H43" i="1"/>
  <c r="M42" i="1"/>
  <c r="L42" i="1"/>
  <c r="K42" i="1"/>
  <c r="H42" i="1"/>
  <c r="M41" i="1"/>
  <c r="L41" i="1"/>
  <c r="K41" i="1"/>
  <c r="H41" i="1"/>
  <c r="M40" i="1"/>
  <c r="L40" i="1"/>
  <c r="K40" i="1"/>
  <c r="H40" i="1"/>
  <c r="M39" i="1"/>
  <c r="L39" i="1"/>
  <c r="K39" i="1"/>
  <c r="H39" i="1"/>
  <c r="M38" i="1"/>
  <c r="L38" i="1"/>
  <c r="K38" i="1"/>
  <c r="H38" i="1"/>
  <c r="M37" i="1"/>
  <c r="L37" i="1"/>
  <c r="K37" i="1"/>
  <c r="H37" i="1"/>
  <c r="M36" i="1"/>
  <c r="L36" i="1"/>
  <c r="K36" i="1"/>
  <c r="H36" i="1"/>
  <c r="M35" i="1"/>
  <c r="L35" i="1"/>
  <c r="K35" i="1"/>
  <c r="H35" i="1"/>
  <c r="M34" i="1"/>
  <c r="L34" i="1"/>
  <c r="K34" i="1"/>
  <c r="H34" i="1"/>
  <c r="M33" i="1"/>
  <c r="L33" i="1"/>
  <c r="K33" i="1"/>
  <c r="H33" i="1"/>
  <c r="M32" i="1"/>
  <c r="L32" i="1"/>
  <c r="K32" i="1"/>
  <c r="H32" i="1"/>
  <c r="M31" i="1"/>
  <c r="L31" i="1"/>
  <c r="K31" i="1"/>
  <c r="H31" i="1"/>
  <c r="M30" i="1"/>
  <c r="L30" i="1"/>
  <c r="K30" i="1"/>
  <c r="H30" i="1"/>
  <c r="M29" i="1"/>
  <c r="L29" i="1"/>
  <c r="K29" i="1"/>
  <c r="H29" i="1"/>
  <c r="M28" i="1"/>
  <c r="L28" i="1"/>
  <c r="K28" i="1"/>
  <c r="H28" i="1"/>
  <c r="M27" i="1"/>
  <c r="L27" i="1"/>
  <c r="K27" i="1"/>
  <c r="H27" i="1"/>
  <c r="M26" i="1"/>
  <c r="L26" i="1"/>
  <c r="K26" i="1"/>
  <c r="H26" i="1"/>
  <c r="M25" i="1"/>
  <c r="L25" i="1"/>
  <c r="K25" i="1"/>
  <c r="H25" i="1"/>
  <c r="M24" i="1"/>
  <c r="L24" i="1"/>
  <c r="K24" i="1"/>
  <c r="H24" i="1"/>
  <c r="M23" i="1"/>
  <c r="L23" i="1"/>
  <c r="K23" i="1"/>
  <c r="H23" i="1"/>
  <c r="M22" i="1"/>
  <c r="L22" i="1"/>
  <c r="K22" i="1"/>
  <c r="H22" i="1"/>
  <c r="M21" i="1"/>
  <c r="L21" i="1"/>
  <c r="K21" i="1"/>
  <c r="H21" i="1"/>
  <c r="M20" i="1"/>
  <c r="L20" i="1"/>
  <c r="K20" i="1"/>
  <c r="H20" i="1"/>
  <c r="M19" i="1"/>
  <c r="L19" i="1"/>
  <c r="K19" i="1"/>
  <c r="H19" i="1"/>
  <c r="M18" i="1"/>
  <c r="L18" i="1"/>
  <c r="K18" i="1"/>
  <c r="H18" i="1"/>
  <c r="M17" i="1"/>
  <c r="L17" i="1"/>
  <c r="K17" i="1"/>
  <c r="H17" i="1"/>
  <c r="M16" i="1"/>
  <c r="L16" i="1"/>
  <c r="K16" i="1"/>
  <c r="H16" i="1"/>
  <c r="M15" i="1"/>
  <c r="L15" i="1"/>
  <c r="K15" i="1"/>
  <c r="H15" i="1"/>
  <c r="M14" i="1"/>
  <c r="L14" i="1"/>
  <c r="K14" i="1"/>
  <c r="H14" i="1"/>
  <c r="M13" i="1"/>
  <c r="L13" i="1"/>
  <c r="K13" i="1"/>
  <c r="H13" i="1"/>
  <c r="M12" i="1"/>
  <c r="L12" i="1"/>
  <c r="K12" i="1"/>
  <c r="H12" i="1"/>
  <c r="M11" i="1"/>
  <c r="L11" i="1"/>
  <c r="K11" i="1"/>
  <c r="H11" i="1"/>
  <c r="M10" i="1"/>
  <c r="L10" i="1"/>
  <c r="K10" i="1"/>
  <c r="H10" i="1"/>
  <c r="M9" i="1"/>
  <c r="L9" i="1"/>
  <c r="K9" i="1"/>
  <c r="H9" i="1"/>
  <c r="M8" i="1"/>
  <c r="L8" i="1"/>
  <c r="K8" i="1"/>
  <c r="H8" i="1"/>
  <c r="M7" i="1"/>
  <c r="L7" i="1"/>
  <c r="K7" i="1"/>
  <c r="H7" i="1"/>
  <c r="M6" i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<sst xmlns="http://schemas.openxmlformats.org/spreadsheetml/2006/main" count="2617" uniqueCount="274">
  <si>
    <t>Dettaglio Domande Pagabili Decreto 674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</si>
  <si>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</si>
  <si>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</si>
  <si>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</si>
  <si>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</si>
  <si>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</si>
  <si>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</si>
  <si>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</si>
  <si>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</si>
  <si>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</si>
  <si>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</si>
  <si>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</si>
  <si>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</si>
  <si>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</si>
  <si>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</si>
  <si>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</si>
  <si>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</si>
  <si>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</si>
  <si>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</si>
  <si>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</si>
  <si>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</si>
  <si>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Tipologia di Strumento Finanziario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</si>
  <si>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</si>
  <si>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</si>
  <si>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</si>
  <si>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</si>
  <si>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</si>
  <si>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</si>
  <si>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a Superficie</t>
  </si>
  <si>
    <t>MARCHE</t>
  </si>
  <si>
    <t>SERV. DEC. AGRICOLTURA E ALIM. -ASCOLI PICENO</t>
  </si>
  <si>
    <t>IN PROPRIO</t>
  </si>
  <si>
    <t>NO</t>
  </si>
  <si>
    <t>PSR 2014/2022</t>
  </si>
  <si>
    <t>MARCONI SCIARRONI LUIGI</t>
  </si>
  <si>
    <t>AGEA.ASR.2024.0305707</t>
  </si>
  <si>
    <t>In Liquidazione</t>
  </si>
  <si>
    <t>Saldo</t>
  </si>
  <si>
    <t>Co-Finanziato</t>
  </si>
  <si>
    <t>Ordinario</t>
  </si>
  <si>
    <t>ANGELICI RENZO</t>
  </si>
  <si>
    <t>SERV. DEC. AGRICOLTURA E ALIMENTAZIONE - PESARO</t>
  </si>
  <si>
    <t>CAA LiberiAgricoltori srl già CAA AGCI srl</t>
  </si>
  <si>
    <t>CAA LiberiAgricoltori - PESARO E URBINO - 002</t>
  </si>
  <si>
    <t>SCALBI GIORGIO</t>
  </si>
  <si>
    <t>SERV. DEC. AGRICOLTURA E ALIM. - MACERATA</t>
  </si>
  <si>
    <t>CAA Coldiretti srl</t>
  </si>
  <si>
    <t>CAA Coldiretti - MACERATA - 017</t>
  </si>
  <si>
    <t>LUCARINI GRAZIELLA</t>
  </si>
  <si>
    <t>AGEA.ASR.2024.0307017</t>
  </si>
  <si>
    <t>CAA Coldiretti - MACERATA - 007</t>
  </si>
  <si>
    <t>SOCIETA' AGRICOLA MAURIZI FERNANDO E MARILENA SOCIETA' SEMPLICE</t>
  </si>
  <si>
    <t>SERV. DEC. AGRICOLTURA E ALIMENTAZIONE - ANCONA</t>
  </si>
  <si>
    <t>CAA Coldiretti - ANCONA - 005</t>
  </si>
  <si>
    <t>BETTI ADELELMO</t>
  </si>
  <si>
    <t>CAA Coldiretti - ANCONA - 002</t>
  </si>
  <si>
    <t>MARINO STEFANO</t>
  </si>
  <si>
    <t>CAA Confagricoltura srl</t>
  </si>
  <si>
    <t>CAA Confagricoltura - MACERATA - 001</t>
  </si>
  <si>
    <t>SABBATINI SILVIA</t>
  </si>
  <si>
    <t>AGEA.ASR.2024.0305717</t>
  </si>
  <si>
    <t>CAA LiberiAgricoltori - MACERATA - 001</t>
  </si>
  <si>
    <t>CAPPELLI ANNA</t>
  </si>
  <si>
    <t>CAA Coldiretti - PESARO E URBINO - 007</t>
  </si>
  <si>
    <t>SOCIETA' AGRICOLA ECCE POMO DI GUERRA MARCO E SERRAZANETTI DIANA-ISABE</t>
  </si>
  <si>
    <t>CAA Confagricoltura - ANCONA - 001</t>
  </si>
  <si>
    <t>SOCIETA' AGRICOLA VALLONGA S.S.</t>
  </si>
  <si>
    <t>CASTIGLIONI LAVINIA</t>
  </si>
  <si>
    <t>CAA Coldiretti - MACERATA - 010</t>
  </si>
  <si>
    <t>SOCIETA' AGRICOLA BERNABEI DI BERNABEI FRANCESCO E C. S.S.</t>
  </si>
  <si>
    <t>LACCHE' LUCA</t>
  </si>
  <si>
    <t>CAA CIA srl</t>
  </si>
  <si>
    <t>CAA CIA - PESARO E URBINO - 008</t>
  </si>
  <si>
    <t>BRISIGOTTI ANNA-MARIA</t>
  </si>
  <si>
    <t>CAA LiberiAgricoltori - MACERATA - 002</t>
  </si>
  <si>
    <t>SANTACCHI SERENA</t>
  </si>
  <si>
    <t>CAA DELLE VENEZIE 205</t>
  </si>
  <si>
    <t>CAA DELLE VENEZIE 205 - TREVISO - 002</t>
  </si>
  <si>
    <t>GASPARETTO MICHELE</t>
  </si>
  <si>
    <t>CARDELLA ROSSANA</t>
  </si>
  <si>
    <t>CAA Coldiretti - PESARO E URBINO - 001</t>
  </si>
  <si>
    <t>MENSA' PATRIZIO</t>
  </si>
  <si>
    <t>GIOSUE' ENDRIO</t>
  </si>
  <si>
    <t>CAA degli Agricoltori Srl</t>
  </si>
  <si>
    <t>CAA Degli Agricoltori - ANCONA - 101</t>
  </si>
  <si>
    <t>SERENELLI PAOLO</t>
  </si>
  <si>
    <t>CAA-CAF AGRI S.R.L.</t>
  </si>
  <si>
    <t>CAA CAF AGRI - ANCONA - 221</t>
  </si>
  <si>
    <t>SOCIETA' AGRICOLA CONERO VERDE S.S.</t>
  </si>
  <si>
    <t>CAA CIA - ASCOLI PICENO - 004</t>
  </si>
  <si>
    <t>FACCHETTI GERMANO</t>
  </si>
  <si>
    <t>DESANTIS SILVANA</t>
  </si>
  <si>
    <t>CAA Coldiretti - PESARO E URBINO - 008</t>
  </si>
  <si>
    <t>SERAFINI MASSIMO</t>
  </si>
  <si>
    <t>BANCI SERAFINO</t>
  </si>
  <si>
    <t>CAA CIA - ANCONA - 005</t>
  </si>
  <si>
    <t>COOPERATIVA AGRICOLA FORESTALE ENERGETICA SOCIETA' AGRICOLA COOPERATIV</t>
  </si>
  <si>
    <t>CAA CIA - ASCOLI PICENO - 001</t>
  </si>
  <si>
    <t>CIARROCCHI MARINELLA</t>
  </si>
  <si>
    <t>CAA CAF AGRI - ASCOLI PICENO - 223</t>
  </si>
  <si>
    <t>TUCCINI MARICA</t>
  </si>
  <si>
    <t>SOCIETA' AGRICOLA CAMPOBELLO S.S.</t>
  </si>
  <si>
    <t>AZIENDA VINICOLA UMANI RONCHI SPA</t>
  </si>
  <si>
    <t>SOCIETA' AGRICOLA FIORETTI BRERA S.S.</t>
  </si>
  <si>
    <t>CAA Coldiretti - FERMO - 001</t>
  </si>
  <si>
    <t>VIRGILI MARISA</t>
  </si>
  <si>
    <t>STROPPA SILVANA</t>
  </si>
  <si>
    <t>CAA Coldiretti - ANCONA - 003</t>
  </si>
  <si>
    <t>TONTI GIORGIO</t>
  </si>
  <si>
    <t>BUGATTI ROBERTO</t>
  </si>
  <si>
    <t>CAA Coldiretti - PESARO E URBINO - 010</t>
  </si>
  <si>
    <t>GUERRA ANDREA</t>
  </si>
  <si>
    <t>CARDELLINI ROBERTO</t>
  </si>
  <si>
    <t>SOCIETA' AGRICOLA TIBERI SECONDO E GIANLUCA S.S.</t>
  </si>
  <si>
    <t>CAA Confagricoltura - PESARO E URBINO - 001</t>
  </si>
  <si>
    <t>VAGNINI ALFIERO</t>
  </si>
  <si>
    <t>CAA CIA - ANCONA - 004</t>
  </si>
  <si>
    <t>BALZANI FRANCESCA</t>
  </si>
  <si>
    <t>MARONI ONORATO</t>
  </si>
  <si>
    <t>CAA Confagricoltura - ASCOLI PICENO - 001</t>
  </si>
  <si>
    <t>SI</t>
  </si>
  <si>
    <t>VALLORANI FABIO</t>
  </si>
  <si>
    <t>BIANCHI ANNALISA</t>
  </si>
  <si>
    <t>SOC.AGR.NUOVA HERA DI PECORELLI ARIANNA E C. S.A.S</t>
  </si>
  <si>
    <t>CAA CIA - ANCONA - 002</t>
  </si>
  <si>
    <t>SOCCI ANDREA</t>
  </si>
  <si>
    <t>CAA Coldiretti - ANCONA - 006</t>
  </si>
  <si>
    <t>SOCIETA' AGRICOLA CA'LIPTRA S.S.</t>
  </si>
  <si>
    <t>CAA Liberi Professionisti srl</t>
  </si>
  <si>
    <t>CAA Liberi Prof.- PESARO E URBINO - 001</t>
  </si>
  <si>
    <t>CARBONI SAMANTA</t>
  </si>
  <si>
    <t>CAA CIA - PESARO E URBINO - 001</t>
  </si>
  <si>
    <t>SAVELLI ANDREA</t>
  </si>
  <si>
    <t>CAA Coldiretti - ASCOLI PICENO - 015</t>
  </si>
  <si>
    <t>STRAPPA LUIGI</t>
  </si>
  <si>
    <t>CAA UNICAA srl</t>
  </si>
  <si>
    <t>CAA UNICAA - ASCOLI PICENO - 004</t>
  </si>
  <si>
    <t>CAPECCI SIMONE</t>
  </si>
  <si>
    <t>CANCELLIERI GIANFRANCO</t>
  </si>
  <si>
    <t>PIEROZZI SANDRO</t>
  </si>
  <si>
    <t>CAA Coldiretti - PESARO E URBINO - 004</t>
  </si>
  <si>
    <t>FIORENTINI DOMENICO</t>
  </si>
  <si>
    <t>CAA CIA - PESARO E URBINO - 007</t>
  </si>
  <si>
    <t>MARCHETTI MASSIMO</t>
  </si>
  <si>
    <t>CARDUCCI MARIA FRANCESCA</t>
  </si>
  <si>
    <t>EREDI PACIONI PIETRO E GRILLI GIOCONDA S.S. AGRICOLA</t>
  </si>
  <si>
    <t>FRATELLI COZZI S.N.C. DI COZZI ALBERTO E GIOVANNI</t>
  </si>
  <si>
    <t>GHIMIS DUMITRESCU MIRELA</t>
  </si>
  <si>
    <t>BISBOCCI MARIO</t>
  </si>
  <si>
    <t>SOCIETA' AGRICOLA GRANDONI MAURIZIO E C. S.S.</t>
  </si>
  <si>
    <t>SALVI LUCA</t>
  </si>
  <si>
    <t>SOC. AGR. TRE CASTELLI S.S.</t>
  </si>
  <si>
    <t>GAMBONI CLAUDIA</t>
  </si>
  <si>
    <t>CARSETTI ROLANDO</t>
  </si>
  <si>
    <t>AZIENDA AGRICOLA SABATINO SNC DI PAOLETTI SABATINO E VITALETTI BRUNO</t>
  </si>
  <si>
    <t>FORTUNI FULVIA</t>
  </si>
  <si>
    <t>G.A.I.A. GESTIONE ASSOCIATA IMPRESE AGRICOLE - SOC COOP</t>
  </si>
  <si>
    <t>CAA Coldiretti - PESARO E URBINO - 013</t>
  </si>
  <si>
    <t>MARIANI ALESSANDRO</t>
  </si>
  <si>
    <t>IEZZI MASSIMO</t>
  </si>
  <si>
    <t>SOCIETA' AGRICOLA MOROBIANCO S.R.L.</t>
  </si>
  <si>
    <t>SOCIETA' AGRICOLA FAUSTI S.R.L.</t>
  </si>
  <si>
    <t>LE CANTINE DI FIGARO SOCIETA' AGRICOLA A R.L.</t>
  </si>
  <si>
    <t>VERDENELLI ANNUNZIATA</t>
  </si>
  <si>
    <t>BONIFAZI DONATO</t>
  </si>
  <si>
    <t>SPADINI ATTILIO</t>
  </si>
  <si>
    <t>VERGINETO SOCIETA' AGRICOLA SEMPLICE</t>
  </si>
  <si>
    <t>VALLE VERDE SOCIETA' AGRICOLA SEMPLICE</t>
  </si>
  <si>
    <t>AGROZOO SOCIETA' AGRICOLA SEMPLICE</t>
  </si>
  <si>
    <t>CARBONETTI MARINA</t>
  </si>
  <si>
    <t>MAZZONI STEFANO</t>
  </si>
  <si>
    <t>CAA CAF AGRI - ANCONA - 225</t>
  </si>
  <si>
    <t>FIORENTINI GIULIA</t>
  </si>
  <si>
    <t>MOGNON FLORIANO</t>
  </si>
  <si>
    <t>MANSOUR NURI MARIANO</t>
  </si>
  <si>
    <t>CAA AGRISERVIZI s.r.l.</t>
  </si>
  <si>
    <t>CAA AGRISERVIZI - LATINA - 001</t>
  </si>
  <si>
    <t>MASSI PATRIZIO</t>
  </si>
  <si>
    <t>GASPARRONI TONINO</t>
  </si>
  <si>
    <t>FABI MARCO</t>
  </si>
  <si>
    <t>CAA Coldiretti - ANCONA - 001</t>
  </si>
  <si>
    <t>PIRANI ELISABETTA</t>
  </si>
  <si>
    <t>ANGELINI NICOLINA</t>
  </si>
  <si>
    <t>SOCIETA AGRICOLA LA MARCA DI SAN MICHELE SOCIETA SEMPLICE</t>
  </si>
  <si>
    <t>PIERGIORGIO S.S. SOCIETA' AGRICOLA</t>
  </si>
  <si>
    <t>CAA CAF AGRI - ASCOLI PICENO - 221</t>
  </si>
  <si>
    <t>AZIENDA AGRICOLA MORESCHINI DI MORESCHINI PATRIZIO E PIERLUIGI SO CIET</t>
  </si>
  <si>
    <t>NICCOLINI SOCIETA' AGRICOLA S.S.</t>
  </si>
  <si>
    <t>CAA CIA - ANCONA - 001</t>
  </si>
  <si>
    <t>FULGENZI VALENTINA</t>
  </si>
  <si>
    <t>CAA CIA - PESARO E URBINO - 005</t>
  </si>
  <si>
    <t>LANDINI GIACOMO</t>
  </si>
  <si>
    <t>CAA LiberiAgricoltori - MACERATA - 005</t>
  </si>
  <si>
    <t>SOC.AGR.ZOOTECNICA ANTICA SIBILLA S.S.</t>
  </si>
  <si>
    <t>POSSANZA ALESSANDRO</t>
  </si>
  <si>
    <t>SOCIETA' AGRICOLA MAGGI GILBERTO, MASSIMO E STEFANO S.S.</t>
  </si>
  <si>
    <t>SCALONI MIRKO</t>
  </si>
  <si>
    <t>RUZZICONI IACOPO</t>
  </si>
  <si>
    <t>CAA CIA - ASCOLI PICENO - 002</t>
  </si>
  <si>
    <t>MOSTO SELVATICO SOCIETA' SEMPLICE AGRICOLA DI CESONI RAFFAELLO E PARME</t>
  </si>
  <si>
    <t>VITIVINICOLA COSTADORO SOCIETA' AGRICOLA S.R.L.</t>
  </si>
  <si>
    <t>PISTOLESI DOMENICO</t>
  </si>
  <si>
    <t>PELITI FRANCESCA</t>
  </si>
  <si>
    <t>SCANDALI TAMARA</t>
  </si>
  <si>
    <t>BENEDETTI GABRIELE</t>
  </si>
  <si>
    <t>SELVA SOCIETA' COOPERATIVA SOCIALE</t>
  </si>
  <si>
    <t>TANFANI GABRIELE</t>
  </si>
  <si>
    <t>GASPARINI GIULIANA</t>
  </si>
  <si>
    <t>DEPLANU SALVATORE &amp; ALESSANDRO SOC.SEMPL.AGRICOLA</t>
  </si>
  <si>
    <t>ROSSI MARTINO</t>
  </si>
  <si>
    <t>MAGI ELIO</t>
  </si>
  <si>
    <t>FRANCONI FABIO</t>
  </si>
  <si>
    <t>SOCIETA' AGRICOLA FRATTEROSA S.S.</t>
  </si>
  <si>
    <t>RICOTTI FILIPPO</t>
  </si>
  <si>
    <t>STARRABBA ALESSANDRO</t>
  </si>
  <si>
    <t>RIO CHIARO SRL</t>
  </si>
  <si>
    <t>PERUGINI PIERPAOLO</t>
  </si>
  <si>
    <t>SOCIETA' AGRICOLA MICHELE S.R.L.</t>
  </si>
  <si>
    <t>ASCANI BRUNO</t>
  </si>
  <si>
    <t>SOCIETA' AGRICOLA VALLESINA S.S.</t>
  </si>
  <si>
    <t>BONFIGLI MARCO</t>
  </si>
  <si>
    <t>TROIANI SOCIETA' SEMPLICE AGRICOLA</t>
  </si>
  <si>
    <t>ROSI PATRIZIA</t>
  </si>
  <si>
    <t>CAA Coldiretti - PESARO E URBINO - 006</t>
  </si>
  <si>
    <t>MAISANO PAOLO</t>
  </si>
  <si>
    <t>CALISTI TERENZIO</t>
  </si>
  <si>
    <t>LOV SOCIETA' AGRICOLA - SOCIETA' A RESPONSABILITA' LIMITATA</t>
  </si>
  <si>
    <t>BICCARI FABRIZIO</t>
  </si>
  <si>
    <t>SOCIETA' AGRICOLA GOSTOLI &amp; C. S.S.</t>
  </si>
  <si>
    <t>SOCIETA' AGRICOLA TIBERI FEDERICO &amp; C. SOCIETA' SEMPLICE</t>
  </si>
  <si>
    <t>CAROBINI SOCIETA' AGRICOLA S.S.</t>
  </si>
  <si>
    <t>BARONA ALDA AMALIA CLAUDIA</t>
  </si>
  <si>
    <t>MARONI CLEMENTINA</t>
  </si>
  <si>
    <t>SOCIETA' AGRICOLA CROCE DEL MORO S.S.</t>
  </si>
  <si>
    <t>CAA UNSIC s.r.l.</t>
  </si>
  <si>
    <t>CAA UNSIC - ASCOLI PICENO - 001</t>
  </si>
  <si>
    <t>PETRUCCI GIOVANNI</t>
  </si>
  <si>
    <t>SOCIETA' AGRICOLA COLLINA DI IPPOLITI LORENZO E VALERIO S.S.</t>
  </si>
  <si>
    <t>CAA LiberiAgricoltori - RIMINI - 001</t>
  </si>
  <si>
    <t>BROCCOLI ADRIANO</t>
  </si>
  <si>
    <t>MIGLIORI NAZZARENO</t>
  </si>
  <si>
    <t>MADONNA DELLE API S.A.S. DI FIORENZI LORENZO &amp; C. SOCIETA' AGRICOLA</t>
  </si>
  <si>
    <t>FARNETI LUIGI</t>
  </si>
  <si>
    <t>CAA UNICAA - ANCONA - 003</t>
  </si>
  <si>
    <t>SOCIETA' AGRICOLA EREDI PANDOLFI DOMENICO S.S.</t>
  </si>
  <si>
    <t>PAOLUCCI LUCIANO</t>
  </si>
  <si>
    <t>ABDYRRAHMANI MAJLINDA</t>
  </si>
  <si>
    <t>CAA CAF AGRI - PESARO E URBINO - 221</t>
  </si>
  <si>
    <t>GRESTINI MARIA LUISA</t>
  </si>
  <si>
    <t>COOP.SOC.DE RERUM NATURA SOC.COOP. AGRICOLA A R.L.</t>
  </si>
  <si>
    <t>SOC. AGR. ARDUINI MARCO E GILBERTO</t>
  </si>
  <si>
    <t>LORENZOTTI ALDO</t>
  </si>
  <si>
    <t>DINI GIANMARCO</t>
  </si>
  <si>
    <t>MAGNONI DOMENICO</t>
  </si>
  <si>
    <t>ANGELINI ANDREA</t>
  </si>
  <si>
    <t>SANTINI ROBERTO</t>
  </si>
  <si>
    <t>FAINELLI ANTONIO</t>
  </si>
  <si>
    <t>BAIOCCO MARIO</t>
  </si>
  <si>
    <t>CARPINETI NELLO</t>
  </si>
  <si>
    <t>FRANCIA DANIELE</t>
  </si>
  <si>
    <t>SOCIETA' AGRICOLA ALLA VECCHIA QUERCIA DI MEYER CORINNE E C. S.N.C.</t>
  </si>
  <si>
    <t>SABBATINI FERNANDO</t>
  </si>
  <si>
    <t>SOCIETA' AGRICOLA TENUTA MATTIONI S.R.L.</t>
  </si>
  <si>
    <t>COOPERATIVA SOCIALE IL POSTO DELLE VIOLE SOCIETA' COOPERATIVA AGRICOLA</t>
  </si>
  <si>
    <t>CHIENNA LORENZO E CHIENNA RENATO SOC. SEMPLICE</t>
  </si>
  <si>
    <t>ROMAGNOLI PRIMO</t>
  </si>
  <si>
    <t>PETROLATI FEDERICO</t>
  </si>
  <si>
    <t>CAA Coldiretti - MACERATA - 008</t>
  </si>
  <si>
    <t>SOCIETA' AGRICOLA LE TRE COLLINE DI CECOLI GINO E FILIPPO S.S.</t>
  </si>
  <si>
    <t>CIACCI GIORGINA</t>
  </si>
  <si>
    <t>MANCINI VILBERTO</t>
  </si>
  <si>
    <t>BARBAROSSA FABRIZIO</t>
  </si>
  <si>
    <t>GIANNINI TERESINA ERNESTA</t>
  </si>
  <si>
    <t>BIANCHINI SAVERIO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</si>
</sst>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14" fontId="2" fillId="0" borderId="4" xfId="0" applyNumberFormat="1" applyFont="1" applyBorder="1" applyAlignment="1">
      <alignment wrapText="1"/>
    </xf>
    <xf numFmtId="4" fontId="2" fillId="0" borderId="4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E9E0C-38F6-4BE7-B5B8-BA9F429BE1C7}">
  <sheetPr>
    <pageSetUpPr fitToPage="1"/>
  </sheetPr>
  <dimension ref="A1:Z188"/>
  <sheetViews>
    <sheetView tabSelected="1" workbookViewId="0"/>
  </sheetViews>
  <sheetFormatPr defaultRowHeight="14.4" x14ac:dyDescent="0.3"/>
  <cols>
    <col min="1" max="1" width="12" bestFit="1" customWidth="1"/>
    <col min="2" max="2" width="12.5546875" bestFit="1" customWidth="1"/>
    <col min="3" max="3" width="7.33203125" bestFit="1" customWidth="1"/>
    <col min="4" max="4" width="32.6640625" bestFit="1" customWidth="1"/>
    <col min="5" max="5" width="25" bestFit="1" customWidth="1"/>
    <col min="6" max="6" width="28.109375" bestFit="1" customWidth="1"/>
    <col min="7" max="7" width="6.5546875" bestFit="1" customWidth="1"/>
    <col min="8" max="8" width="9.88671875" bestFit="1" customWidth="1"/>
    <col min="9" max="9" width="16.33203125" bestFit="1" customWidth="1"/>
    <col min="10" max="10" width="15.5546875" bestFit="1" customWidth="1"/>
    <col min="11" max="12" width="13.21875" bestFit="1" customWidth="1"/>
    <col min="13" max="13" width="3.44140625" bestFit="1" customWidth="1"/>
    <col min="14" max="14" width="35.5546875" bestFit="1" customWidth="1"/>
    <col min="15" max="15" width="14.5546875" bestFit="1" customWidth="1"/>
    <col min="16" max="16" width="17.77734375" bestFit="1" customWidth="1"/>
    <col min="17" max="17" width="12.5546875" bestFit="1" customWidth="1"/>
    <col min="18" max="18" width="13.77734375" bestFit="1" customWidth="1"/>
    <col min="19" max="19" width="15.6640625" bestFit="1" customWidth="1"/>
    <col min="20" max="20" width="3.77734375" bestFit="1" customWidth="1"/>
    <col min="21" max="21" width="19.77734375" bestFit="1" customWidth="1"/>
    <col min="22" max="22" width="14.21875" bestFit="1" customWidth="1"/>
    <col min="23" max="23" width="19" bestFit="1" customWidth="1"/>
    <col min="24" max="25" width="20.88671875" bestFit="1" customWidth="1"/>
    <col min="26" max="26" width="26.109375" bestFit="1" customWidth="1"/>
  </cols>
  <sheetData>
    <row r="1" spans="1:26" ht="28.8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</row>
    <row r="2" spans="1:26" x14ac:dyDescent="0.3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6"/>
    </row>
    <row r="3" spans="1:26" x14ac:dyDescent="0.3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7" t="s">
        <v>15</v>
      </c>
      <c r="P3" s="7" t="s">
        <v>16</v>
      </c>
      <c r="Q3" s="7" t="s">
        <v>17</v>
      </c>
      <c r="R3" s="7" t="s">
        <v>18</v>
      </c>
      <c r="S3" s="7" t="s">
        <v>19</v>
      </c>
      <c r="T3" s="7" t="s">
        <v>20</v>
      </c>
      <c r="U3" s="7" t="s">
        <v>21</v>
      </c>
      <c r="V3" s="7" t="s">
        <v>22</v>
      </c>
      <c r="W3" s="7" t="s">
        <v>23</v>
      </c>
      <c r="X3" s="7" t="s">
        <v>24</v>
      </c>
      <c r="Y3" s="7" t="s">
        <v>25</v>
      </c>
      <c r="Z3" s="7" t="s">
        <v>26</v>
      </c>
    </row>
    <row r="4" spans="1:26" ht="58.8" x14ac:dyDescent="0.3">
      <c r="A4" s="8" t="s">
        <v>27</v>
      </c>
      <c r="B4" s="8" t="s">
        <v>28</v>
      </c>
      <c r="C4" s="8" t="s">
        <v>29</v>
      </c>
      <c r="D4" s="8" t="s">
        <v>30</v>
      </c>
      <c r="E4" s="8" t="s">
        <v>31</v>
      </c>
      <c r="F4" s="8" t="s">
        <v>31</v>
      </c>
      <c r="G4" s="8">
        <v>2023</v>
      </c>
      <c r="H4" s="8" t="str">
        <f>CONCATENATE("34240304625")</f>
        <v>34240304625</v>
      </c>
      <c r="I4" s="8" t="s">
        <v>32</v>
      </c>
      <c r="J4" s="8" t="s">
        <v>33</v>
      </c>
      <c r="K4" s="8" t="str">
        <f t="shared" ref="K4:K67" si="0">CONCATENATE("")</f>
        <v/>
      </c>
      <c r="L4" s="8" t="str">
        <f>CONCATENATE("11 11.2 4b")</f>
        <v>11 11.2 4b</v>
      </c>
      <c r="M4" s="8" t="str">
        <f>CONCATENATE("MRCLGU60R10A047D")</f>
        <v>MRCLGU60R10A047D</v>
      </c>
      <c r="N4" s="8" t="s">
        <v>34</v>
      </c>
      <c r="O4" s="8" t="s">
        <v>35</v>
      </c>
      <c r="P4" s="9">
        <v>45355</v>
      </c>
      <c r="Q4" s="8" t="s">
        <v>36</v>
      </c>
      <c r="R4" s="8" t="s">
        <v>37</v>
      </c>
      <c r="S4" s="8" t="s">
        <v>38</v>
      </c>
      <c r="T4" s="8"/>
      <c r="U4" s="8" t="s">
        <v>39</v>
      </c>
      <c r="V4" s="10">
        <v>4798.55</v>
      </c>
      <c r="W4" s="10">
        <v>2069.13</v>
      </c>
      <c r="X4" s="10">
        <v>1910.78</v>
      </c>
      <c r="Y4" s="8">
        <v>818.64</v>
      </c>
      <c r="Z4" s="8">
        <v>0</v>
      </c>
    </row>
    <row r="5" spans="1:26" ht="49.2" x14ac:dyDescent="0.3">
      <c r="A5" s="8" t="s">
        <v>27</v>
      </c>
      <c r="B5" s="8" t="s">
        <v>28</v>
      </c>
      <c r="C5" s="8" t="s">
        <v>29</v>
      </c>
      <c r="D5" s="8" t="s">
        <v>30</v>
      </c>
      <c r="E5" s="8" t="s">
        <v>31</v>
      </c>
      <c r="F5" s="8" t="s">
        <v>31</v>
      </c>
      <c r="G5" s="8">
        <v>2023</v>
      </c>
      <c r="H5" s="8" t="str">
        <f>CONCATENATE("34240305085")</f>
        <v>34240305085</v>
      </c>
      <c r="I5" s="8" t="s">
        <v>32</v>
      </c>
      <c r="J5" s="8" t="s">
        <v>33</v>
      </c>
      <c r="K5" s="8" t="str">
        <f t="shared" si="0"/>
        <v/>
      </c>
      <c r="L5" s="8" t="str">
        <f>CONCATENATE("11 11.2 4b")</f>
        <v>11 11.2 4b</v>
      </c>
      <c r="M5" s="8" t="str">
        <f>CONCATENATE("NGLRNZ68P26D096H")</f>
        <v>NGLRNZ68P26D096H</v>
      </c>
      <c r="N5" s="8" t="s">
        <v>40</v>
      </c>
      <c r="O5" s="8" t="s">
        <v>35</v>
      </c>
      <c r="P5" s="9">
        <v>45355</v>
      </c>
      <c r="Q5" s="8" t="s">
        <v>36</v>
      </c>
      <c r="R5" s="8" t="s">
        <v>37</v>
      </c>
      <c r="S5" s="8" t="s">
        <v>38</v>
      </c>
      <c r="T5" s="8"/>
      <c r="U5" s="8" t="s">
        <v>39</v>
      </c>
      <c r="V5" s="10">
        <v>1223.98</v>
      </c>
      <c r="W5" s="8">
        <v>527.78</v>
      </c>
      <c r="X5" s="8">
        <v>487.39</v>
      </c>
      <c r="Y5" s="8">
        <v>208.81</v>
      </c>
      <c r="Z5" s="8">
        <v>0</v>
      </c>
    </row>
    <row r="6" spans="1:26" ht="49.2" x14ac:dyDescent="0.3">
      <c r="A6" s="8" t="s">
        <v>27</v>
      </c>
      <c r="B6" s="8" t="s">
        <v>28</v>
      </c>
      <c r="C6" s="8" t="s">
        <v>29</v>
      </c>
      <c r="D6" s="8" t="s">
        <v>41</v>
      </c>
      <c r="E6" s="8" t="s">
        <v>42</v>
      </c>
      <c r="F6" s="8" t="s">
        <v>43</v>
      </c>
      <c r="G6" s="8">
        <v>2023</v>
      </c>
      <c r="H6" s="8" t="str">
        <f>CONCATENATE("34240454065")</f>
        <v>34240454065</v>
      </c>
      <c r="I6" s="8" t="s">
        <v>32</v>
      </c>
      <c r="J6" s="8" t="s">
        <v>33</v>
      </c>
      <c r="K6" s="8" t="str">
        <f t="shared" si="0"/>
        <v/>
      </c>
      <c r="L6" s="8" t="str">
        <f>CONCATENATE("11 11.2 4b")</f>
        <v>11 11.2 4b</v>
      </c>
      <c r="M6" s="8" t="str">
        <f>CONCATENATE("SCLGRG62A16I459L")</f>
        <v>SCLGRG62A16I459L</v>
      </c>
      <c r="N6" s="8" t="s">
        <v>44</v>
      </c>
      <c r="O6" s="8" t="s">
        <v>35</v>
      </c>
      <c r="P6" s="9">
        <v>45355</v>
      </c>
      <c r="Q6" s="8" t="s">
        <v>36</v>
      </c>
      <c r="R6" s="8" t="s">
        <v>37</v>
      </c>
      <c r="S6" s="8" t="s">
        <v>38</v>
      </c>
      <c r="T6" s="8"/>
      <c r="U6" s="8" t="s">
        <v>39</v>
      </c>
      <c r="V6" s="10">
        <v>2028.33</v>
      </c>
      <c r="W6" s="8">
        <v>874.62</v>
      </c>
      <c r="X6" s="8">
        <v>807.68</v>
      </c>
      <c r="Y6" s="8">
        <v>346.03</v>
      </c>
      <c r="Z6" s="8">
        <v>0</v>
      </c>
    </row>
    <row r="7" spans="1:26" ht="58.8" x14ac:dyDescent="0.3">
      <c r="A7" s="8" t="s">
        <v>27</v>
      </c>
      <c r="B7" s="8" t="s">
        <v>28</v>
      </c>
      <c r="C7" s="8" t="s">
        <v>29</v>
      </c>
      <c r="D7" s="8" t="s">
        <v>30</v>
      </c>
      <c r="E7" s="8" t="s">
        <v>31</v>
      </c>
      <c r="F7" s="8" t="s">
        <v>31</v>
      </c>
      <c r="G7" s="8">
        <v>2023</v>
      </c>
      <c r="H7" s="8" t="str">
        <f>CONCATENATE("34240304484")</f>
        <v>34240304484</v>
      </c>
      <c r="I7" s="8" t="s">
        <v>32</v>
      </c>
      <c r="J7" s="8" t="s">
        <v>33</v>
      </c>
      <c r="K7" s="8" t="str">
        <f t="shared" si="0"/>
        <v/>
      </c>
      <c r="L7" s="8" t="str">
        <f>CONCATENATE("11 11.2 4b")</f>
        <v>11 11.2 4b</v>
      </c>
      <c r="M7" s="8" t="str">
        <f>CONCATENATE("MRCLGU60R10A047D")</f>
        <v>MRCLGU60R10A047D</v>
      </c>
      <c r="N7" s="8" t="s">
        <v>34</v>
      </c>
      <c r="O7" s="8" t="s">
        <v>35</v>
      </c>
      <c r="P7" s="9">
        <v>45355</v>
      </c>
      <c r="Q7" s="8" t="s">
        <v>36</v>
      </c>
      <c r="R7" s="8" t="s">
        <v>37</v>
      </c>
      <c r="S7" s="8" t="s">
        <v>38</v>
      </c>
      <c r="T7" s="8"/>
      <c r="U7" s="8" t="s">
        <v>39</v>
      </c>
      <c r="V7" s="10">
        <v>1303.1500000000001</v>
      </c>
      <c r="W7" s="8">
        <v>561.91999999999996</v>
      </c>
      <c r="X7" s="8">
        <v>518.91</v>
      </c>
      <c r="Y7" s="8">
        <v>222.32</v>
      </c>
      <c r="Z7" s="8">
        <v>0</v>
      </c>
    </row>
    <row r="8" spans="1:26" ht="49.2" x14ac:dyDescent="0.3">
      <c r="A8" s="8" t="s">
        <v>27</v>
      </c>
      <c r="B8" s="8" t="s">
        <v>28</v>
      </c>
      <c r="C8" s="8" t="s">
        <v>29</v>
      </c>
      <c r="D8" s="8" t="s">
        <v>45</v>
      </c>
      <c r="E8" s="8" t="s">
        <v>46</v>
      </c>
      <c r="F8" s="8" t="s">
        <v>47</v>
      </c>
      <c r="G8" s="8">
        <v>2023</v>
      </c>
      <c r="H8" s="8" t="str">
        <f>CONCATENATE("34210090949")</f>
        <v>34210090949</v>
      </c>
      <c r="I8" s="8" t="s">
        <v>32</v>
      </c>
      <c r="J8" s="8" t="s">
        <v>33</v>
      </c>
      <c r="K8" s="8" t="str">
        <f t="shared" si="0"/>
        <v/>
      </c>
      <c r="L8" s="8" t="str">
        <f>CONCATENATE("13 13.1 4a")</f>
        <v>13 13.1 4a</v>
      </c>
      <c r="M8" s="8" t="str">
        <f>CONCATENATE("LCRGZL42S45B474Q")</f>
        <v>LCRGZL42S45B474Q</v>
      </c>
      <c r="N8" s="8" t="s">
        <v>48</v>
      </c>
      <c r="O8" s="8" t="s">
        <v>49</v>
      </c>
      <c r="P8" s="9">
        <v>45355</v>
      </c>
      <c r="Q8" s="8" t="s">
        <v>36</v>
      </c>
      <c r="R8" s="8" t="s">
        <v>37</v>
      </c>
      <c r="S8" s="8" t="s">
        <v>38</v>
      </c>
      <c r="T8" s="8"/>
      <c r="U8" s="8" t="s">
        <v>39</v>
      </c>
      <c r="V8" s="10">
        <v>7546.53</v>
      </c>
      <c r="W8" s="10">
        <v>3254.06</v>
      </c>
      <c r="X8" s="10">
        <v>3005.03</v>
      </c>
      <c r="Y8" s="10">
        <v>1287.44</v>
      </c>
      <c r="Z8" s="8">
        <v>0</v>
      </c>
    </row>
    <row r="9" spans="1:26" ht="30" x14ac:dyDescent="0.3">
      <c r="A9" s="8" t="s">
        <v>27</v>
      </c>
      <c r="B9" s="8" t="s">
        <v>28</v>
      </c>
      <c r="C9" s="8" t="s">
        <v>29</v>
      </c>
      <c r="D9" s="8" t="s">
        <v>45</v>
      </c>
      <c r="E9" s="8" t="s">
        <v>46</v>
      </c>
      <c r="F9" s="8" t="s">
        <v>50</v>
      </c>
      <c r="G9" s="8">
        <v>2023</v>
      </c>
      <c r="H9" s="8" t="str">
        <f>CONCATENATE("34210051487")</f>
        <v>34210051487</v>
      </c>
      <c r="I9" s="8" t="s">
        <v>32</v>
      </c>
      <c r="J9" s="8" t="s">
        <v>33</v>
      </c>
      <c r="K9" s="8" t="str">
        <f t="shared" si="0"/>
        <v/>
      </c>
      <c r="L9" s="8" t="str">
        <f>CONCATENATE("13 13.1 4a")</f>
        <v>13 13.1 4a</v>
      </c>
      <c r="M9" s="8" t="str">
        <f>CONCATENATE("00734090434")</f>
        <v>00734090434</v>
      </c>
      <c r="N9" s="8" t="s">
        <v>51</v>
      </c>
      <c r="O9" s="8" t="s">
        <v>49</v>
      </c>
      <c r="P9" s="9">
        <v>45355</v>
      </c>
      <c r="Q9" s="8" t="s">
        <v>36</v>
      </c>
      <c r="R9" s="8" t="s">
        <v>37</v>
      </c>
      <c r="S9" s="8" t="s">
        <v>38</v>
      </c>
      <c r="T9" s="8"/>
      <c r="U9" s="8" t="s">
        <v>39</v>
      </c>
      <c r="V9" s="10">
        <v>1652.2</v>
      </c>
      <c r="W9" s="8">
        <v>712.43</v>
      </c>
      <c r="X9" s="8">
        <v>657.91</v>
      </c>
      <c r="Y9" s="8">
        <v>281.86</v>
      </c>
      <c r="Z9" s="8">
        <v>0</v>
      </c>
    </row>
    <row r="10" spans="1:26" ht="58.8" x14ac:dyDescent="0.3">
      <c r="A10" s="8" t="s">
        <v>27</v>
      </c>
      <c r="B10" s="8" t="s">
        <v>28</v>
      </c>
      <c r="C10" s="8" t="s">
        <v>29</v>
      </c>
      <c r="D10" s="8" t="s">
        <v>52</v>
      </c>
      <c r="E10" s="8" t="s">
        <v>46</v>
      </c>
      <c r="F10" s="8" t="s">
        <v>53</v>
      </c>
      <c r="G10" s="8">
        <v>2023</v>
      </c>
      <c r="H10" s="8" t="str">
        <f>CONCATENATE("34210067400")</f>
        <v>34210067400</v>
      </c>
      <c r="I10" s="8" t="s">
        <v>32</v>
      </c>
      <c r="J10" s="8" t="s">
        <v>33</v>
      </c>
      <c r="K10" s="8" t="str">
        <f t="shared" si="0"/>
        <v/>
      </c>
      <c r="L10" s="8" t="str">
        <f>CONCATENATE("13 13.1 4a")</f>
        <v>13 13.1 4a</v>
      </c>
      <c r="M10" s="8" t="str">
        <f>CONCATENATE("BTTDLM32D09A366N")</f>
        <v>BTTDLM32D09A366N</v>
      </c>
      <c r="N10" s="8" t="s">
        <v>54</v>
      </c>
      <c r="O10" s="8" t="s">
        <v>49</v>
      </c>
      <c r="P10" s="9">
        <v>45355</v>
      </c>
      <c r="Q10" s="8" t="s">
        <v>36</v>
      </c>
      <c r="R10" s="8" t="s">
        <v>37</v>
      </c>
      <c r="S10" s="8" t="s">
        <v>38</v>
      </c>
      <c r="T10" s="8"/>
      <c r="U10" s="8" t="s">
        <v>39</v>
      </c>
      <c r="V10" s="10">
        <v>2924.28</v>
      </c>
      <c r="W10" s="10">
        <v>1260.95</v>
      </c>
      <c r="X10" s="10">
        <v>1164.45</v>
      </c>
      <c r="Y10" s="8">
        <v>498.88</v>
      </c>
      <c r="Z10" s="8">
        <v>0</v>
      </c>
    </row>
    <row r="11" spans="1:26" ht="58.8" x14ac:dyDescent="0.3">
      <c r="A11" s="8" t="s">
        <v>27</v>
      </c>
      <c r="B11" s="8" t="s">
        <v>28</v>
      </c>
      <c r="C11" s="8" t="s">
        <v>29</v>
      </c>
      <c r="D11" s="8" t="s">
        <v>52</v>
      </c>
      <c r="E11" s="8" t="s">
        <v>46</v>
      </c>
      <c r="F11" s="8" t="s">
        <v>55</v>
      </c>
      <c r="G11" s="8">
        <v>2023</v>
      </c>
      <c r="H11" s="8" t="str">
        <f>CONCATENATE("34240037142")</f>
        <v>34240037142</v>
      </c>
      <c r="I11" s="8" t="s">
        <v>32</v>
      </c>
      <c r="J11" s="8" t="s">
        <v>33</v>
      </c>
      <c r="K11" s="8" t="str">
        <f t="shared" si="0"/>
        <v/>
      </c>
      <c r="L11" s="8" t="str">
        <f>CONCATENATE("11 11.2 4b")</f>
        <v>11 11.2 4b</v>
      </c>
      <c r="M11" s="8" t="str">
        <f>CONCATENATE("MRNSFN86B21E882G")</f>
        <v>MRNSFN86B21E882G</v>
      </c>
      <c r="N11" s="8" t="s">
        <v>56</v>
      </c>
      <c r="O11" s="8" t="s">
        <v>35</v>
      </c>
      <c r="P11" s="9">
        <v>45355</v>
      </c>
      <c r="Q11" s="8" t="s">
        <v>36</v>
      </c>
      <c r="R11" s="8" t="s">
        <v>37</v>
      </c>
      <c r="S11" s="8" t="s">
        <v>38</v>
      </c>
      <c r="T11" s="8"/>
      <c r="U11" s="8" t="s">
        <v>39</v>
      </c>
      <c r="V11" s="8">
        <v>7.48</v>
      </c>
      <c r="W11" s="8">
        <v>3.23</v>
      </c>
      <c r="X11" s="8">
        <v>2.98</v>
      </c>
      <c r="Y11" s="8">
        <v>1.27</v>
      </c>
      <c r="Z11" s="8">
        <v>0</v>
      </c>
    </row>
    <row r="12" spans="1:26" ht="49.2" x14ac:dyDescent="0.3">
      <c r="A12" s="8" t="s">
        <v>27</v>
      </c>
      <c r="B12" s="8" t="s">
        <v>28</v>
      </c>
      <c r="C12" s="8" t="s">
        <v>29</v>
      </c>
      <c r="D12" s="8" t="s">
        <v>45</v>
      </c>
      <c r="E12" s="8" t="s">
        <v>57</v>
      </c>
      <c r="F12" s="8" t="s">
        <v>58</v>
      </c>
      <c r="G12" s="8">
        <v>2023</v>
      </c>
      <c r="H12" s="8" t="str">
        <f>CONCATENATE("34240127455")</f>
        <v>34240127455</v>
      </c>
      <c r="I12" s="8" t="s">
        <v>32</v>
      </c>
      <c r="J12" s="8" t="s">
        <v>33</v>
      </c>
      <c r="K12" s="8" t="str">
        <f t="shared" si="0"/>
        <v/>
      </c>
      <c r="L12" s="8" t="str">
        <f>CONCATENATE("10 10.1 4a")</f>
        <v>10 10.1 4a</v>
      </c>
      <c r="M12" s="8" t="str">
        <f>CONCATENATE("SBBSLV77S69H211C")</f>
        <v>SBBSLV77S69H211C</v>
      </c>
      <c r="N12" s="8" t="s">
        <v>59</v>
      </c>
      <c r="O12" s="8" t="s">
        <v>60</v>
      </c>
      <c r="P12" s="9">
        <v>45355</v>
      </c>
      <c r="Q12" s="8" t="s">
        <v>36</v>
      </c>
      <c r="R12" s="8" t="s">
        <v>37</v>
      </c>
      <c r="S12" s="8" t="s">
        <v>38</v>
      </c>
      <c r="T12" s="8"/>
      <c r="U12" s="8" t="s">
        <v>39</v>
      </c>
      <c r="V12" s="10">
        <v>2094.16</v>
      </c>
      <c r="W12" s="8">
        <v>903</v>
      </c>
      <c r="X12" s="8">
        <v>833.89</v>
      </c>
      <c r="Y12" s="8">
        <v>357.27</v>
      </c>
      <c r="Z12" s="8">
        <v>0</v>
      </c>
    </row>
    <row r="13" spans="1:26" ht="58.8" x14ac:dyDescent="0.3">
      <c r="A13" s="8" t="s">
        <v>27</v>
      </c>
      <c r="B13" s="8" t="s">
        <v>28</v>
      </c>
      <c r="C13" s="8" t="s">
        <v>29</v>
      </c>
      <c r="D13" s="8" t="s">
        <v>45</v>
      </c>
      <c r="E13" s="8" t="s">
        <v>42</v>
      </c>
      <c r="F13" s="8" t="s">
        <v>61</v>
      </c>
      <c r="G13" s="8">
        <v>2023</v>
      </c>
      <c r="H13" s="8" t="str">
        <f>CONCATENATE("34240318492")</f>
        <v>34240318492</v>
      </c>
      <c r="I13" s="8" t="s">
        <v>32</v>
      </c>
      <c r="J13" s="8" t="s">
        <v>33</v>
      </c>
      <c r="K13" s="8" t="str">
        <f t="shared" si="0"/>
        <v/>
      </c>
      <c r="L13" s="8" t="str">
        <f>CONCATENATE("10 10.1 4a")</f>
        <v>10 10.1 4a</v>
      </c>
      <c r="M13" s="8" t="str">
        <f>CONCATENATE("CPPNNA66H65A329N")</f>
        <v>CPPNNA66H65A329N</v>
      </c>
      <c r="N13" s="8" t="s">
        <v>62</v>
      </c>
      <c r="O13" s="8" t="s">
        <v>60</v>
      </c>
      <c r="P13" s="9">
        <v>45355</v>
      </c>
      <c r="Q13" s="8" t="s">
        <v>36</v>
      </c>
      <c r="R13" s="8" t="s">
        <v>37</v>
      </c>
      <c r="S13" s="8" t="s">
        <v>38</v>
      </c>
      <c r="T13" s="8"/>
      <c r="U13" s="8" t="s">
        <v>39</v>
      </c>
      <c r="V13" s="8">
        <v>496.04</v>
      </c>
      <c r="W13" s="8">
        <v>213.89</v>
      </c>
      <c r="X13" s="8">
        <v>197.52</v>
      </c>
      <c r="Y13" s="8">
        <v>84.63</v>
      </c>
      <c r="Z13" s="8">
        <v>0</v>
      </c>
    </row>
    <row r="14" spans="1:26" ht="30" x14ac:dyDescent="0.3">
      <c r="A14" s="8" t="s">
        <v>27</v>
      </c>
      <c r="B14" s="8" t="s">
        <v>28</v>
      </c>
      <c r="C14" s="8" t="s">
        <v>29</v>
      </c>
      <c r="D14" s="8" t="s">
        <v>41</v>
      </c>
      <c r="E14" s="8" t="s">
        <v>46</v>
      </c>
      <c r="F14" s="8" t="s">
        <v>63</v>
      </c>
      <c r="G14" s="8">
        <v>2023</v>
      </c>
      <c r="H14" s="8" t="str">
        <f>CONCATENATE("34240464502")</f>
        <v>34240464502</v>
      </c>
      <c r="I14" s="8" t="s">
        <v>32</v>
      </c>
      <c r="J14" s="8" t="s">
        <v>33</v>
      </c>
      <c r="K14" s="8" t="str">
        <f t="shared" si="0"/>
        <v/>
      </c>
      <c r="L14" s="8" t="str">
        <f>CONCATENATE("10 10.1 4a")</f>
        <v>10 10.1 4a</v>
      </c>
      <c r="M14" s="8" t="str">
        <f>CONCATENATE("02787510417")</f>
        <v>02787510417</v>
      </c>
      <c r="N14" s="8" t="s">
        <v>64</v>
      </c>
      <c r="O14" s="8" t="s">
        <v>60</v>
      </c>
      <c r="P14" s="9">
        <v>45355</v>
      </c>
      <c r="Q14" s="8" t="s">
        <v>36</v>
      </c>
      <c r="R14" s="8" t="s">
        <v>37</v>
      </c>
      <c r="S14" s="8" t="s">
        <v>38</v>
      </c>
      <c r="T14" s="8"/>
      <c r="U14" s="8" t="s">
        <v>39</v>
      </c>
      <c r="V14" s="8">
        <v>148.82</v>
      </c>
      <c r="W14" s="8">
        <v>64.17</v>
      </c>
      <c r="X14" s="8">
        <v>59.26</v>
      </c>
      <c r="Y14" s="8">
        <v>25.39</v>
      </c>
      <c r="Z14" s="8">
        <v>0</v>
      </c>
    </row>
    <row r="15" spans="1:26" ht="30" x14ac:dyDescent="0.3">
      <c r="A15" s="8" t="s">
        <v>27</v>
      </c>
      <c r="B15" s="8" t="s">
        <v>28</v>
      </c>
      <c r="C15" s="8" t="s">
        <v>29</v>
      </c>
      <c r="D15" s="8" t="s">
        <v>45</v>
      </c>
      <c r="E15" s="8" t="s">
        <v>57</v>
      </c>
      <c r="F15" s="8" t="s">
        <v>65</v>
      </c>
      <c r="G15" s="8">
        <v>2023</v>
      </c>
      <c r="H15" s="8" t="str">
        <f>CONCATENATE("34240075233")</f>
        <v>34240075233</v>
      </c>
      <c r="I15" s="8" t="s">
        <v>32</v>
      </c>
      <c r="J15" s="8" t="s">
        <v>33</v>
      </c>
      <c r="K15" s="8" t="str">
        <f t="shared" si="0"/>
        <v/>
      </c>
      <c r="L15" s="8" t="str">
        <f>CONCATENATE("10 10.1 4a")</f>
        <v>10 10.1 4a</v>
      </c>
      <c r="M15" s="8" t="str">
        <f>CONCATENATE("01985780434")</f>
        <v>01985780434</v>
      </c>
      <c r="N15" s="8" t="s">
        <v>66</v>
      </c>
      <c r="O15" s="8" t="s">
        <v>60</v>
      </c>
      <c r="P15" s="9">
        <v>45355</v>
      </c>
      <c r="Q15" s="8" t="s">
        <v>36</v>
      </c>
      <c r="R15" s="8" t="s">
        <v>37</v>
      </c>
      <c r="S15" s="8" t="s">
        <v>38</v>
      </c>
      <c r="T15" s="8"/>
      <c r="U15" s="8" t="s">
        <v>39</v>
      </c>
      <c r="V15" s="8">
        <v>595.52</v>
      </c>
      <c r="W15" s="8">
        <v>256.79000000000002</v>
      </c>
      <c r="X15" s="8">
        <v>237.14</v>
      </c>
      <c r="Y15" s="8">
        <v>101.59</v>
      </c>
      <c r="Z15" s="8">
        <v>0</v>
      </c>
    </row>
    <row r="16" spans="1:26" ht="49.2" x14ac:dyDescent="0.3">
      <c r="A16" s="8" t="s">
        <v>27</v>
      </c>
      <c r="B16" s="8" t="s">
        <v>28</v>
      </c>
      <c r="C16" s="8" t="s">
        <v>29</v>
      </c>
      <c r="D16" s="8" t="s">
        <v>45</v>
      </c>
      <c r="E16" s="8" t="s">
        <v>57</v>
      </c>
      <c r="F16" s="8" t="s">
        <v>58</v>
      </c>
      <c r="G16" s="8">
        <v>2023</v>
      </c>
      <c r="H16" s="8" t="str">
        <f>CONCATENATE("34240099704")</f>
        <v>34240099704</v>
      </c>
      <c r="I16" s="8" t="s">
        <v>32</v>
      </c>
      <c r="J16" s="8" t="s">
        <v>33</v>
      </c>
      <c r="K16" s="8" t="str">
        <f t="shared" si="0"/>
        <v/>
      </c>
      <c r="L16" s="8" t="str">
        <f>CONCATENATE("10 10.1 4a")</f>
        <v>10 10.1 4a</v>
      </c>
      <c r="M16" s="8" t="str">
        <f>CONCATENATE("CSTLVN75E57H501O")</f>
        <v>CSTLVN75E57H501O</v>
      </c>
      <c r="N16" s="8" t="s">
        <v>67</v>
      </c>
      <c r="O16" s="8" t="s">
        <v>60</v>
      </c>
      <c r="P16" s="9">
        <v>45355</v>
      </c>
      <c r="Q16" s="8" t="s">
        <v>36</v>
      </c>
      <c r="R16" s="8" t="s">
        <v>37</v>
      </c>
      <c r="S16" s="8" t="s">
        <v>38</v>
      </c>
      <c r="T16" s="8"/>
      <c r="U16" s="8" t="s">
        <v>39</v>
      </c>
      <c r="V16" s="10">
        <v>1070.4000000000001</v>
      </c>
      <c r="W16" s="8">
        <v>461.56</v>
      </c>
      <c r="X16" s="8">
        <v>426.23</v>
      </c>
      <c r="Y16" s="8">
        <v>182.61</v>
      </c>
      <c r="Z16" s="8">
        <v>0</v>
      </c>
    </row>
    <row r="17" spans="1:26" ht="30" x14ac:dyDescent="0.3">
      <c r="A17" s="8" t="s">
        <v>27</v>
      </c>
      <c r="B17" s="8" t="s">
        <v>28</v>
      </c>
      <c r="C17" s="8" t="s">
        <v>29</v>
      </c>
      <c r="D17" s="8" t="s">
        <v>45</v>
      </c>
      <c r="E17" s="8" t="s">
        <v>46</v>
      </c>
      <c r="F17" s="8" t="s">
        <v>68</v>
      </c>
      <c r="G17" s="8">
        <v>2023</v>
      </c>
      <c r="H17" s="8" t="str">
        <f>CONCATENATE("34240138205")</f>
        <v>34240138205</v>
      </c>
      <c r="I17" s="8" t="s">
        <v>32</v>
      </c>
      <c r="J17" s="8" t="s">
        <v>33</v>
      </c>
      <c r="K17" s="8" t="str">
        <f t="shared" si="0"/>
        <v/>
      </c>
      <c r="L17" s="8" t="str">
        <f>CONCATENATE("10 10.1 4a")</f>
        <v>10 10.1 4a</v>
      </c>
      <c r="M17" s="8" t="str">
        <f>CONCATENATE("01943760437")</f>
        <v>01943760437</v>
      </c>
      <c r="N17" s="8" t="s">
        <v>69</v>
      </c>
      <c r="O17" s="8" t="s">
        <v>60</v>
      </c>
      <c r="P17" s="9">
        <v>45355</v>
      </c>
      <c r="Q17" s="8" t="s">
        <v>36</v>
      </c>
      <c r="R17" s="8" t="s">
        <v>37</v>
      </c>
      <c r="S17" s="8" t="s">
        <v>38</v>
      </c>
      <c r="T17" s="8"/>
      <c r="U17" s="8" t="s">
        <v>39</v>
      </c>
      <c r="V17" s="8">
        <v>668.8</v>
      </c>
      <c r="W17" s="8">
        <v>288.39</v>
      </c>
      <c r="X17" s="8">
        <v>266.32</v>
      </c>
      <c r="Y17" s="8">
        <v>114.09</v>
      </c>
      <c r="Z17" s="8">
        <v>0</v>
      </c>
    </row>
    <row r="18" spans="1:26" ht="49.2" x14ac:dyDescent="0.3">
      <c r="A18" s="8" t="s">
        <v>27</v>
      </c>
      <c r="B18" s="8" t="s">
        <v>28</v>
      </c>
      <c r="C18" s="8" t="s">
        <v>29</v>
      </c>
      <c r="D18" s="8" t="s">
        <v>45</v>
      </c>
      <c r="E18" s="8" t="s">
        <v>46</v>
      </c>
      <c r="F18" s="8" t="s">
        <v>47</v>
      </c>
      <c r="G18" s="8">
        <v>2023</v>
      </c>
      <c r="H18" s="8" t="str">
        <f>CONCATENATE("34240755586")</f>
        <v>34240755586</v>
      </c>
      <c r="I18" s="8" t="s">
        <v>32</v>
      </c>
      <c r="J18" s="8" t="s">
        <v>33</v>
      </c>
      <c r="K18" s="8" t="str">
        <f t="shared" si="0"/>
        <v/>
      </c>
      <c r="L18" s="8" t="str">
        <f>CONCATENATE("10 10.1 4a")</f>
        <v>10 10.1 4a</v>
      </c>
      <c r="M18" s="8" t="str">
        <f>CONCATENATE("LCCLCU66B19Z133V")</f>
        <v>LCCLCU66B19Z133V</v>
      </c>
      <c r="N18" s="8" t="s">
        <v>70</v>
      </c>
      <c r="O18" s="8" t="s">
        <v>60</v>
      </c>
      <c r="P18" s="9">
        <v>45355</v>
      </c>
      <c r="Q18" s="8" t="s">
        <v>36</v>
      </c>
      <c r="R18" s="8" t="s">
        <v>37</v>
      </c>
      <c r="S18" s="8" t="s">
        <v>38</v>
      </c>
      <c r="T18" s="8"/>
      <c r="U18" s="8" t="s">
        <v>39</v>
      </c>
      <c r="V18" s="10">
        <v>1183.92</v>
      </c>
      <c r="W18" s="8">
        <v>510.51</v>
      </c>
      <c r="X18" s="8">
        <v>471.44</v>
      </c>
      <c r="Y18" s="8">
        <v>201.97</v>
      </c>
      <c r="Z18" s="8">
        <v>0</v>
      </c>
    </row>
    <row r="19" spans="1:26" ht="58.8" x14ac:dyDescent="0.3">
      <c r="A19" s="8" t="s">
        <v>27</v>
      </c>
      <c r="B19" s="8" t="s">
        <v>28</v>
      </c>
      <c r="C19" s="8" t="s">
        <v>29</v>
      </c>
      <c r="D19" s="8" t="s">
        <v>41</v>
      </c>
      <c r="E19" s="8" t="s">
        <v>71</v>
      </c>
      <c r="F19" s="8" t="s">
        <v>72</v>
      </c>
      <c r="G19" s="8">
        <v>2023</v>
      </c>
      <c r="H19" s="8" t="str">
        <f>CONCATENATE("34240600253")</f>
        <v>34240600253</v>
      </c>
      <c r="I19" s="8" t="s">
        <v>32</v>
      </c>
      <c r="J19" s="8" t="s">
        <v>33</v>
      </c>
      <c r="K19" s="8" t="str">
        <f t="shared" si="0"/>
        <v/>
      </c>
      <c r="L19" s="8" t="str">
        <f t="shared" ref="L19:L29" si="1">CONCATENATE("11 11.2 4b")</f>
        <v>11 11.2 4b</v>
      </c>
      <c r="M19" s="8" t="str">
        <f>CONCATENATE("BRSNMR51E41E785Q")</f>
        <v>BRSNMR51E41E785Q</v>
      </c>
      <c r="N19" s="8" t="s">
        <v>73</v>
      </c>
      <c r="O19" s="8" t="s">
        <v>35</v>
      </c>
      <c r="P19" s="9">
        <v>45355</v>
      </c>
      <c r="Q19" s="8" t="s">
        <v>36</v>
      </c>
      <c r="R19" s="8" t="s">
        <v>37</v>
      </c>
      <c r="S19" s="8" t="s">
        <v>38</v>
      </c>
      <c r="T19" s="8"/>
      <c r="U19" s="8" t="s">
        <v>39</v>
      </c>
      <c r="V19" s="8">
        <v>292.64</v>
      </c>
      <c r="W19" s="8">
        <v>126.19</v>
      </c>
      <c r="X19" s="8">
        <v>116.53</v>
      </c>
      <c r="Y19" s="8">
        <v>49.92</v>
      </c>
      <c r="Z19" s="8">
        <v>0</v>
      </c>
    </row>
    <row r="20" spans="1:26" ht="49.2" x14ac:dyDescent="0.3">
      <c r="A20" s="8" t="s">
        <v>27</v>
      </c>
      <c r="B20" s="8" t="s">
        <v>28</v>
      </c>
      <c r="C20" s="8" t="s">
        <v>29</v>
      </c>
      <c r="D20" s="8" t="s">
        <v>45</v>
      </c>
      <c r="E20" s="8" t="s">
        <v>42</v>
      </c>
      <c r="F20" s="8" t="s">
        <v>74</v>
      </c>
      <c r="G20" s="8">
        <v>2023</v>
      </c>
      <c r="H20" s="8" t="str">
        <f>CONCATENATE("34240302728")</f>
        <v>34240302728</v>
      </c>
      <c r="I20" s="8" t="s">
        <v>32</v>
      </c>
      <c r="J20" s="8" t="s">
        <v>33</v>
      </c>
      <c r="K20" s="8" t="str">
        <f t="shared" si="0"/>
        <v/>
      </c>
      <c r="L20" s="8" t="str">
        <f t="shared" si="1"/>
        <v>11 11.2 4b</v>
      </c>
      <c r="M20" s="8" t="str">
        <f>CONCATENATE("SNTSRN80M42I156W")</f>
        <v>SNTSRN80M42I156W</v>
      </c>
      <c r="N20" s="8" t="s">
        <v>75</v>
      </c>
      <c r="O20" s="8" t="s">
        <v>35</v>
      </c>
      <c r="P20" s="9">
        <v>45355</v>
      </c>
      <c r="Q20" s="8" t="s">
        <v>36</v>
      </c>
      <c r="R20" s="8" t="s">
        <v>37</v>
      </c>
      <c r="S20" s="8" t="s">
        <v>38</v>
      </c>
      <c r="T20" s="8"/>
      <c r="U20" s="8" t="s">
        <v>39</v>
      </c>
      <c r="V20" s="10">
        <v>1226.7</v>
      </c>
      <c r="W20" s="8">
        <v>528.95000000000005</v>
      </c>
      <c r="X20" s="8">
        <v>488.47</v>
      </c>
      <c r="Y20" s="8">
        <v>209.28</v>
      </c>
      <c r="Z20" s="8">
        <v>0</v>
      </c>
    </row>
    <row r="21" spans="1:26" ht="49.2" x14ac:dyDescent="0.3">
      <c r="A21" s="8" t="s">
        <v>27</v>
      </c>
      <c r="B21" s="8" t="s">
        <v>28</v>
      </c>
      <c r="C21" s="8" t="s">
        <v>29</v>
      </c>
      <c r="D21" s="8" t="s">
        <v>30</v>
      </c>
      <c r="E21" s="8" t="s">
        <v>76</v>
      </c>
      <c r="F21" s="8" t="s">
        <v>77</v>
      </c>
      <c r="G21" s="8">
        <v>2023</v>
      </c>
      <c r="H21" s="8" t="str">
        <f>CONCATENATE("34240600816")</f>
        <v>34240600816</v>
      </c>
      <c r="I21" s="8" t="s">
        <v>32</v>
      </c>
      <c r="J21" s="8" t="s">
        <v>33</v>
      </c>
      <c r="K21" s="8" t="str">
        <f t="shared" si="0"/>
        <v/>
      </c>
      <c r="L21" s="8" t="str">
        <f t="shared" si="1"/>
        <v>11 11.2 4b</v>
      </c>
      <c r="M21" s="8" t="str">
        <f>CONCATENATE("GSPMHL68R05F443P")</f>
        <v>GSPMHL68R05F443P</v>
      </c>
      <c r="N21" s="8" t="s">
        <v>78</v>
      </c>
      <c r="O21" s="8" t="s">
        <v>35</v>
      </c>
      <c r="P21" s="9">
        <v>45355</v>
      </c>
      <c r="Q21" s="8" t="s">
        <v>36</v>
      </c>
      <c r="R21" s="8" t="s">
        <v>37</v>
      </c>
      <c r="S21" s="8" t="s">
        <v>38</v>
      </c>
      <c r="T21" s="8"/>
      <c r="U21" s="8" t="s">
        <v>39</v>
      </c>
      <c r="V21" s="10">
        <v>4613.7</v>
      </c>
      <c r="W21" s="10">
        <v>1989.43</v>
      </c>
      <c r="X21" s="10">
        <v>1837.18</v>
      </c>
      <c r="Y21" s="8">
        <v>787.09</v>
      </c>
      <c r="Z21" s="8">
        <v>0</v>
      </c>
    </row>
    <row r="22" spans="1:26" ht="49.2" x14ac:dyDescent="0.3">
      <c r="A22" s="8" t="s">
        <v>27</v>
      </c>
      <c r="B22" s="8" t="s">
        <v>28</v>
      </c>
      <c r="C22" s="8" t="s">
        <v>29</v>
      </c>
      <c r="D22" s="8" t="s">
        <v>52</v>
      </c>
      <c r="E22" s="8" t="s">
        <v>57</v>
      </c>
      <c r="F22" s="8" t="s">
        <v>65</v>
      </c>
      <c r="G22" s="8">
        <v>2023</v>
      </c>
      <c r="H22" s="8" t="str">
        <f>CONCATENATE("34240160761")</f>
        <v>34240160761</v>
      </c>
      <c r="I22" s="8" t="s">
        <v>32</v>
      </c>
      <c r="J22" s="8" t="s">
        <v>33</v>
      </c>
      <c r="K22" s="8" t="str">
        <f t="shared" si="0"/>
        <v/>
      </c>
      <c r="L22" s="8" t="str">
        <f t="shared" si="1"/>
        <v>11 11.2 4b</v>
      </c>
      <c r="M22" s="8" t="str">
        <f>CONCATENATE("CRDRSN50P46E690F")</f>
        <v>CRDRSN50P46E690F</v>
      </c>
      <c r="N22" s="8" t="s">
        <v>79</v>
      </c>
      <c r="O22" s="8" t="s">
        <v>35</v>
      </c>
      <c r="P22" s="9">
        <v>45355</v>
      </c>
      <c r="Q22" s="8" t="s">
        <v>36</v>
      </c>
      <c r="R22" s="8" t="s">
        <v>37</v>
      </c>
      <c r="S22" s="8" t="s">
        <v>38</v>
      </c>
      <c r="T22" s="8"/>
      <c r="U22" s="8" t="s">
        <v>39</v>
      </c>
      <c r="V22" s="10">
        <v>2213.91</v>
      </c>
      <c r="W22" s="8">
        <v>954.64</v>
      </c>
      <c r="X22" s="8">
        <v>881.58</v>
      </c>
      <c r="Y22" s="8">
        <v>377.69</v>
      </c>
      <c r="Z22" s="8">
        <v>0</v>
      </c>
    </row>
    <row r="23" spans="1:26" ht="58.8" x14ac:dyDescent="0.3">
      <c r="A23" s="8" t="s">
        <v>27</v>
      </c>
      <c r="B23" s="8" t="s">
        <v>28</v>
      </c>
      <c r="C23" s="8" t="s">
        <v>29</v>
      </c>
      <c r="D23" s="8" t="s">
        <v>41</v>
      </c>
      <c r="E23" s="8" t="s">
        <v>46</v>
      </c>
      <c r="F23" s="8" t="s">
        <v>80</v>
      </c>
      <c r="G23" s="8">
        <v>2023</v>
      </c>
      <c r="H23" s="8" t="str">
        <f>CONCATENATE("34240531573")</f>
        <v>34240531573</v>
      </c>
      <c r="I23" s="8" t="s">
        <v>32</v>
      </c>
      <c r="J23" s="8" t="s">
        <v>33</v>
      </c>
      <c r="K23" s="8" t="str">
        <f t="shared" si="0"/>
        <v/>
      </c>
      <c r="L23" s="8" t="str">
        <f t="shared" si="1"/>
        <v>11 11.2 4b</v>
      </c>
      <c r="M23" s="8" t="str">
        <f>CONCATENATE("MNSPRZ75M28B352O")</f>
        <v>MNSPRZ75M28B352O</v>
      </c>
      <c r="N23" s="8" t="s">
        <v>81</v>
      </c>
      <c r="O23" s="8" t="s">
        <v>35</v>
      </c>
      <c r="P23" s="9">
        <v>45355</v>
      </c>
      <c r="Q23" s="8" t="s">
        <v>36</v>
      </c>
      <c r="R23" s="8" t="s">
        <v>37</v>
      </c>
      <c r="S23" s="8" t="s">
        <v>38</v>
      </c>
      <c r="T23" s="8"/>
      <c r="U23" s="8" t="s">
        <v>39</v>
      </c>
      <c r="V23" s="10">
        <v>11019.6</v>
      </c>
      <c r="W23" s="10">
        <v>4751.6499999999996</v>
      </c>
      <c r="X23" s="10">
        <v>4388</v>
      </c>
      <c r="Y23" s="10">
        <v>1879.95</v>
      </c>
      <c r="Z23" s="8">
        <v>0</v>
      </c>
    </row>
    <row r="24" spans="1:26" ht="49.2" x14ac:dyDescent="0.3">
      <c r="A24" s="8" t="s">
        <v>27</v>
      </c>
      <c r="B24" s="8" t="s">
        <v>28</v>
      </c>
      <c r="C24" s="8" t="s">
        <v>29</v>
      </c>
      <c r="D24" s="8" t="s">
        <v>45</v>
      </c>
      <c r="E24" s="8" t="s">
        <v>42</v>
      </c>
      <c r="F24" s="8" t="s">
        <v>61</v>
      </c>
      <c r="G24" s="8">
        <v>2023</v>
      </c>
      <c r="H24" s="8" t="str">
        <f>CONCATENATE("34240762343")</f>
        <v>34240762343</v>
      </c>
      <c r="I24" s="8" t="s">
        <v>32</v>
      </c>
      <c r="J24" s="8" t="s">
        <v>33</v>
      </c>
      <c r="K24" s="8" t="str">
        <f t="shared" si="0"/>
        <v/>
      </c>
      <c r="L24" s="8" t="str">
        <f t="shared" si="1"/>
        <v>11 11.2 4b</v>
      </c>
      <c r="M24" s="8" t="str">
        <f>CONCATENATE("GSINDR65H16H876I")</f>
        <v>GSINDR65H16H876I</v>
      </c>
      <c r="N24" s="8" t="s">
        <v>82</v>
      </c>
      <c r="O24" s="8" t="s">
        <v>35</v>
      </c>
      <c r="P24" s="9">
        <v>45355</v>
      </c>
      <c r="Q24" s="8" t="s">
        <v>36</v>
      </c>
      <c r="R24" s="8" t="s">
        <v>37</v>
      </c>
      <c r="S24" s="8" t="s">
        <v>38</v>
      </c>
      <c r="T24" s="8"/>
      <c r="U24" s="8" t="s">
        <v>39</v>
      </c>
      <c r="V24" s="10">
        <v>10476.84</v>
      </c>
      <c r="W24" s="10">
        <v>4517.6099999999997</v>
      </c>
      <c r="X24" s="10">
        <v>4171.88</v>
      </c>
      <c r="Y24" s="10">
        <v>1787.35</v>
      </c>
      <c r="Z24" s="8">
        <v>0</v>
      </c>
    </row>
    <row r="25" spans="1:26" ht="49.2" x14ac:dyDescent="0.3">
      <c r="A25" s="8" t="s">
        <v>27</v>
      </c>
      <c r="B25" s="8" t="s">
        <v>28</v>
      </c>
      <c r="C25" s="8" t="s">
        <v>29</v>
      </c>
      <c r="D25" s="8" t="s">
        <v>52</v>
      </c>
      <c r="E25" s="8" t="s">
        <v>83</v>
      </c>
      <c r="F25" s="8" t="s">
        <v>84</v>
      </c>
      <c r="G25" s="8">
        <v>2023</v>
      </c>
      <c r="H25" s="8" t="str">
        <f>CONCATENATE("34240601657")</f>
        <v>34240601657</v>
      </c>
      <c r="I25" s="8" t="s">
        <v>32</v>
      </c>
      <c r="J25" s="8" t="s">
        <v>33</v>
      </c>
      <c r="K25" s="8" t="str">
        <f t="shared" si="0"/>
        <v/>
      </c>
      <c r="L25" s="8" t="str">
        <f t="shared" si="1"/>
        <v>11 11.2 4b</v>
      </c>
      <c r="M25" s="8" t="str">
        <f>CONCATENATE("SRNPLA63R27C100M")</f>
        <v>SRNPLA63R27C100M</v>
      </c>
      <c r="N25" s="8" t="s">
        <v>85</v>
      </c>
      <c r="O25" s="8" t="s">
        <v>35</v>
      </c>
      <c r="P25" s="9">
        <v>45355</v>
      </c>
      <c r="Q25" s="8" t="s">
        <v>36</v>
      </c>
      <c r="R25" s="8" t="s">
        <v>37</v>
      </c>
      <c r="S25" s="8" t="s">
        <v>38</v>
      </c>
      <c r="T25" s="8"/>
      <c r="U25" s="8" t="s">
        <v>39</v>
      </c>
      <c r="V25" s="8">
        <v>213.78</v>
      </c>
      <c r="W25" s="8">
        <v>92.18</v>
      </c>
      <c r="X25" s="8">
        <v>85.13</v>
      </c>
      <c r="Y25" s="8">
        <v>36.47</v>
      </c>
      <c r="Z25" s="8">
        <v>0</v>
      </c>
    </row>
    <row r="26" spans="1:26" ht="30" x14ac:dyDescent="0.3">
      <c r="A26" s="8" t="s">
        <v>27</v>
      </c>
      <c r="B26" s="8" t="s">
        <v>28</v>
      </c>
      <c r="C26" s="8" t="s">
        <v>29</v>
      </c>
      <c r="D26" s="8" t="s">
        <v>52</v>
      </c>
      <c r="E26" s="8" t="s">
        <v>86</v>
      </c>
      <c r="F26" s="8" t="s">
        <v>87</v>
      </c>
      <c r="G26" s="8">
        <v>2023</v>
      </c>
      <c r="H26" s="8" t="str">
        <f>CONCATENATE("34240293786")</f>
        <v>34240293786</v>
      </c>
      <c r="I26" s="8" t="s">
        <v>32</v>
      </c>
      <c r="J26" s="8" t="s">
        <v>33</v>
      </c>
      <c r="K26" s="8" t="str">
        <f t="shared" si="0"/>
        <v/>
      </c>
      <c r="L26" s="8" t="str">
        <f t="shared" si="1"/>
        <v>11 11.2 4b</v>
      </c>
      <c r="M26" s="8" t="str">
        <f>CONCATENATE("02148850429")</f>
        <v>02148850429</v>
      </c>
      <c r="N26" s="8" t="s">
        <v>88</v>
      </c>
      <c r="O26" s="8" t="s">
        <v>35</v>
      </c>
      <c r="P26" s="9">
        <v>45355</v>
      </c>
      <c r="Q26" s="8" t="s">
        <v>36</v>
      </c>
      <c r="R26" s="8" t="s">
        <v>37</v>
      </c>
      <c r="S26" s="8" t="s">
        <v>38</v>
      </c>
      <c r="T26" s="8"/>
      <c r="U26" s="8" t="s">
        <v>39</v>
      </c>
      <c r="V26" s="10">
        <v>1108.24</v>
      </c>
      <c r="W26" s="8">
        <v>477.87</v>
      </c>
      <c r="X26" s="8">
        <v>441.3</v>
      </c>
      <c r="Y26" s="8">
        <v>189.07</v>
      </c>
      <c r="Z26" s="8">
        <v>0</v>
      </c>
    </row>
    <row r="27" spans="1:26" ht="58.8" x14ac:dyDescent="0.3">
      <c r="A27" s="8" t="s">
        <v>27</v>
      </c>
      <c r="B27" s="8" t="s">
        <v>28</v>
      </c>
      <c r="C27" s="8" t="s">
        <v>29</v>
      </c>
      <c r="D27" s="8" t="s">
        <v>30</v>
      </c>
      <c r="E27" s="8" t="s">
        <v>71</v>
      </c>
      <c r="F27" s="8" t="s">
        <v>89</v>
      </c>
      <c r="G27" s="8">
        <v>2023</v>
      </c>
      <c r="H27" s="8" t="str">
        <f>CONCATENATE("34240774652")</f>
        <v>34240774652</v>
      </c>
      <c r="I27" s="8" t="s">
        <v>32</v>
      </c>
      <c r="J27" s="8" t="s">
        <v>33</v>
      </c>
      <c r="K27" s="8" t="str">
        <f t="shared" si="0"/>
        <v/>
      </c>
      <c r="L27" s="8" t="str">
        <f t="shared" si="1"/>
        <v>11 11.2 4b</v>
      </c>
      <c r="M27" s="8" t="str">
        <f>CONCATENATE("FCCGMN97D28A794S")</f>
        <v>FCCGMN97D28A794S</v>
      </c>
      <c r="N27" s="8" t="s">
        <v>90</v>
      </c>
      <c r="O27" s="8" t="s">
        <v>35</v>
      </c>
      <c r="P27" s="9">
        <v>45355</v>
      </c>
      <c r="Q27" s="8" t="s">
        <v>36</v>
      </c>
      <c r="R27" s="8" t="s">
        <v>37</v>
      </c>
      <c r="S27" s="8" t="s">
        <v>38</v>
      </c>
      <c r="T27" s="8"/>
      <c r="U27" s="8" t="s">
        <v>39</v>
      </c>
      <c r="V27" s="10">
        <v>2067.8200000000002</v>
      </c>
      <c r="W27" s="8">
        <v>891.64</v>
      </c>
      <c r="X27" s="8">
        <v>823.41</v>
      </c>
      <c r="Y27" s="8">
        <v>352.77</v>
      </c>
      <c r="Z27" s="8">
        <v>0</v>
      </c>
    </row>
    <row r="28" spans="1:26" ht="49.2" x14ac:dyDescent="0.3">
      <c r="A28" s="8" t="s">
        <v>27</v>
      </c>
      <c r="B28" s="8" t="s">
        <v>28</v>
      </c>
      <c r="C28" s="8" t="s">
        <v>29</v>
      </c>
      <c r="D28" s="8" t="s">
        <v>30</v>
      </c>
      <c r="E28" s="8" t="s">
        <v>76</v>
      </c>
      <c r="F28" s="8" t="s">
        <v>77</v>
      </c>
      <c r="G28" s="8">
        <v>2023</v>
      </c>
      <c r="H28" s="8" t="str">
        <f>CONCATENATE("34240600881")</f>
        <v>34240600881</v>
      </c>
      <c r="I28" s="8" t="s">
        <v>32</v>
      </c>
      <c r="J28" s="8" t="s">
        <v>33</v>
      </c>
      <c r="K28" s="8" t="str">
        <f t="shared" si="0"/>
        <v/>
      </c>
      <c r="L28" s="8" t="str">
        <f t="shared" si="1"/>
        <v>11 11.2 4b</v>
      </c>
      <c r="M28" s="8" t="str">
        <f>CONCATENATE("GSPMHL68R05F443P")</f>
        <v>GSPMHL68R05F443P</v>
      </c>
      <c r="N28" s="8" t="s">
        <v>78</v>
      </c>
      <c r="O28" s="8" t="s">
        <v>35</v>
      </c>
      <c r="P28" s="9">
        <v>45355</v>
      </c>
      <c r="Q28" s="8" t="s">
        <v>36</v>
      </c>
      <c r="R28" s="8" t="s">
        <v>37</v>
      </c>
      <c r="S28" s="8" t="s">
        <v>38</v>
      </c>
      <c r="T28" s="8"/>
      <c r="U28" s="8" t="s">
        <v>39</v>
      </c>
      <c r="V28" s="10">
        <v>8003.04</v>
      </c>
      <c r="W28" s="10">
        <v>3450.91</v>
      </c>
      <c r="X28" s="10">
        <v>3186.81</v>
      </c>
      <c r="Y28" s="10">
        <v>1365.32</v>
      </c>
      <c r="Z28" s="8">
        <v>0</v>
      </c>
    </row>
    <row r="29" spans="1:26" ht="49.2" x14ac:dyDescent="0.3">
      <c r="A29" s="8" t="s">
        <v>27</v>
      </c>
      <c r="B29" s="8" t="s">
        <v>28</v>
      </c>
      <c r="C29" s="8" t="s">
        <v>29</v>
      </c>
      <c r="D29" s="8" t="s">
        <v>30</v>
      </c>
      <c r="E29" s="8" t="s">
        <v>31</v>
      </c>
      <c r="F29" s="8" t="s">
        <v>31</v>
      </c>
      <c r="G29" s="8">
        <v>2023</v>
      </c>
      <c r="H29" s="8" t="str">
        <f>CONCATENATE("34240657519")</f>
        <v>34240657519</v>
      </c>
      <c r="I29" s="8" t="s">
        <v>32</v>
      </c>
      <c r="J29" s="8" t="s">
        <v>33</v>
      </c>
      <c r="K29" s="8" t="str">
        <f t="shared" si="0"/>
        <v/>
      </c>
      <c r="L29" s="8" t="str">
        <f t="shared" si="1"/>
        <v>11 11.2 4b</v>
      </c>
      <c r="M29" s="8" t="str">
        <f>CONCATENATE("DSNSVN46P66G005P")</f>
        <v>DSNSVN46P66G005P</v>
      </c>
      <c r="N29" s="8" t="s">
        <v>91</v>
      </c>
      <c r="O29" s="8" t="s">
        <v>35</v>
      </c>
      <c r="P29" s="9">
        <v>45355</v>
      </c>
      <c r="Q29" s="8" t="s">
        <v>36</v>
      </c>
      <c r="R29" s="8" t="s">
        <v>37</v>
      </c>
      <c r="S29" s="8" t="s">
        <v>38</v>
      </c>
      <c r="T29" s="8"/>
      <c r="U29" s="8" t="s">
        <v>39</v>
      </c>
      <c r="V29" s="10">
        <v>2344.48</v>
      </c>
      <c r="W29" s="10">
        <v>1010.94</v>
      </c>
      <c r="X29" s="8">
        <v>933.57</v>
      </c>
      <c r="Y29" s="8">
        <v>399.97</v>
      </c>
      <c r="Z29" s="8">
        <v>0</v>
      </c>
    </row>
    <row r="30" spans="1:26" ht="58.8" x14ac:dyDescent="0.3">
      <c r="A30" s="8" t="s">
        <v>27</v>
      </c>
      <c r="B30" s="8" t="s">
        <v>28</v>
      </c>
      <c r="C30" s="8" t="s">
        <v>29</v>
      </c>
      <c r="D30" s="8" t="s">
        <v>41</v>
      </c>
      <c r="E30" s="8" t="s">
        <v>46</v>
      </c>
      <c r="F30" s="8" t="s">
        <v>80</v>
      </c>
      <c r="G30" s="8">
        <v>2023</v>
      </c>
      <c r="H30" s="8" t="str">
        <f>CONCATENATE("34210094321")</f>
        <v>34210094321</v>
      </c>
      <c r="I30" s="8" t="s">
        <v>32</v>
      </c>
      <c r="J30" s="8" t="s">
        <v>33</v>
      </c>
      <c r="K30" s="8" t="str">
        <f t="shared" si="0"/>
        <v/>
      </c>
      <c r="L30" s="8" t="str">
        <f>CONCATENATE("13 13.1 4a")</f>
        <v>13 13.1 4a</v>
      </c>
      <c r="M30" s="8" t="str">
        <f>CONCATENATE("MNSPRZ75M28B352O")</f>
        <v>MNSPRZ75M28B352O</v>
      </c>
      <c r="N30" s="8" t="s">
        <v>81</v>
      </c>
      <c r="O30" s="8" t="s">
        <v>49</v>
      </c>
      <c r="P30" s="9">
        <v>45355</v>
      </c>
      <c r="Q30" s="8" t="s">
        <v>36</v>
      </c>
      <c r="R30" s="8" t="s">
        <v>37</v>
      </c>
      <c r="S30" s="8" t="s">
        <v>38</v>
      </c>
      <c r="T30" s="8"/>
      <c r="U30" s="8" t="s">
        <v>39</v>
      </c>
      <c r="V30" s="10">
        <v>8341.5</v>
      </c>
      <c r="W30" s="10">
        <v>3596.85</v>
      </c>
      <c r="X30" s="10">
        <v>3321.59</v>
      </c>
      <c r="Y30" s="10">
        <v>1423.06</v>
      </c>
      <c r="Z30" s="8">
        <v>0</v>
      </c>
    </row>
    <row r="31" spans="1:26" ht="49.2" x14ac:dyDescent="0.3">
      <c r="A31" s="8" t="s">
        <v>27</v>
      </c>
      <c r="B31" s="8" t="s">
        <v>28</v>
      </c>
      <c r="C31" s="8" t="s">
        <v>29</v>
      </c>
      <c r="D31" s="8" t="s">
        <v>45</v>
      </c>
      <c r="E31" s="8" t="s">
        <v>42</v>
      </c>
      <c r="F31" s="8" t="s">
        <v>61</v>
      </c>
      <c r="G31" s="8">
        <v>2023</v>
      </c>
      <c r="H31" s="8" t="str">
        <f>CONCATENATE("34210175229")</f>
        <v>34210175229</v>
      </c>
      <c r="I31" s="8" t="s">
        <v>32</v>
      </c>
      <c r="J31" s="8" t="s">
        <v>33</v>
      </c>
      <c r="K31" s="8" t="str">
        <f t="shared" si="0"/>
        <v/>
      </c>
      <c r="L31" s="8" t="str">
        <f>CONCATENATE("13 13.1 4a")</f>
        <v>13 13.1 4a</v>
      </c>
      <c r="M31" s="8" t="str">
        <f>CONCATENATE("GSINDR65H16H876I")</f>
        <v>GSINDR65H16H876I</v>
      </c>
      <c r="N31" s="8" t="s">
        <v>82</v>
      </c>
      <c r="O31" s="8" t="s">
        <v>49</v>
      </c>
      <c r="P31" s="9">
        <v>45355</v>
      </c>
      <c r="Q31" s="8" t="s">
        <v>36</v>
      </c>
      <c r="R31" s="8" t="s">
        <v>37</v>
      </c>
      <c r="S31" s="8" t="s">
        <v>38</v>
      </c>
      <c r="T31" s="8"/>
      <c r="U31" s="8" t="s">
        <v>39</v>
      </c>
      <c r="V31" s="10">
        <v>3873.75</v>
      </c>
      <c r="W31" s="10">
        <v>1670.36</v>
      </c>
      <c r="X31" s="10">
        <v>1542.53</v>
      </c>
      <c r="Y31" s="8">
        <v>660.86</v>
      </c>
      <c r="Z31" s="8">
        <v>0</v>
      </c>
    </row>
    <row r="32" spans="1:26" ht="58.8" x14ac:dyDescent="0.3">
      <c r="A32" s="8" t="s">
        <v>27</v>
      </c>
      <c r="B32" s="8" t="s">
        <v>28</v>
      </c>
      <c r="C32" s="8" t="s">
        <v>29</v>
      </c>
      <c r="D32" s="8" t="s">
        <v>41</v>
      </c>
      <c r="E32" s="8" t="s">
        <v>46</v>
      </c>
      <c r="F32" s="8" t="s">
        <v>92</v>
      </c>
      <c r="G32" s="8">
        <v>2023</v>
      </c>
      <c r="H32" s="8" t="str">
        <f>CONCATENATE("34240351584")</f>
        <v>34240351584</v>
      </c>
      <c r="I32" s="8" t="s">
        <v>32</v>
      </c>
      <c r="J32" s="8" t="s">
        <v>33</v>
      </c>
      <c r="K32" s="8" t="str">
        <f t="shared" si="0"/>
        <v/>
      </c>
      <c r="L32" s="8" t="str">
        <f>CONCATENATE("11 11.2 4b")</f>
        <v>11 11.2 4b</v>
      </c>
      <c r="M32" s="8" t="str">
        <f>CONCATENATE("SRFMSM62A14D541W")</f>
        <v>SRFMSM62A14D541W</v>
      </c>
      <c r="N32" s="8" t="s">
        <v>93</v>
      </c>
      <c r="O32" s="8" t="s">
        <v>35</v>
      </c>
      <c r="P32" s="9">
        <v>45355</v>
      </c>
      <c r="Q32" s="8" t="s">
        <v>36</v>
      </c>
      <c r="R32" s="8" t="s">
        <v>37</v>
      </c>
      <c r="S32" s="8" t="s">
        <v>38</v>
      </c>
      <c r="T32" s="8"/>
      <c r="U32" s="8" t="s">
        <v>39</v>
      </c>
      <c r="V32" s="10">
        <v>2552.9699999999998</v>
      </c>
      <c r="W32" s="10">
        <v>1100.8399999999999</v>
      </c>
      <c r="X32" s="10">
        <v>1016.59</v>
      </c>
      <c r="Y32" s="8">
        <v>435.54</v>
      </c>
      <c r="Z32" s="8">
        <v>0</v>
      </c>
    </row>
    <row r="33" spans="1:26" ht="49.2" x14ac:dyDescent="0.3">
      <c r="A33" s="8" t="s">
        <v>27</v>
      </c>
      <c r="B33" s="8" t="s">
        <v>28</v>
      </c>
      <c r="C33" s="8" t="s">
        <v>29</v>
      </c>
      <c r="D33" s="8" t="s">
        <v>41</v>
      </c>
      <c r="E33" s="8" t="s">
        <v>42</v>
      </c>
      <c r="F33" s="8" t="s">
        <v>43</v>
      </c>
      <c r="G33" s="8">
        <v>2023</v>
      </c>
      <c r="H33" s="8" t="str">
        <f>CONCATENATE("34240354984")</f>
        <v>34240354984</v>
      </c>
      <c r="I33" s="8" t="s">
        <v>32</v>
      </c>
      <c r="J33" s="8" t="s">
        <v>33</v>
      </c>
      <c r="K33" s="8" t="str">
        <f t="shared" si="0"/>
        <v/>
      </c>
      <c r="L33" s="8" t="str">
        <f>CONCATENATE("11 11.2 4b")</f>
        <v>11 11.2 4b</v>
      </c>
      <c r="M33" s="8" t="str">
        <f>CONCATENATE("BNCSFN62C04L500O")</f>
        <v>BNCSFN62C04L500O</v>
      </c>
      <c r="N33" s="8" t="s">
        <v>94</v>
      </c>
      <c r="O33" s="8" t="s">
        <v>35</v>
      </c>
      <c r="P33" s="9">
        <v>45355</v>
      </c>
      <c r="Q33" s="8" t="s">
        <v>36</v>
      </c>
      <c r="R33" s="8" t="s">
        <v>37</v>
      </c>
      <c r="S33" s="8" t="s">
        <v>38</v>
      </c>
      <c r="T33" s="8"/>
      <c r="U33" s="8" t="s">
        <v>39</v>
      </c>
      <c r="V33" s="10">
        <v>6626.7</v>
      </c>
      <c r="W33" s="10">
        <v>2857.43</v>
      </c>
      <c r="X33" s="10">
        <v>2638.75</v>
      </c>
      <c r="Y33" s="10">
        <v>1130.52</v>
      </c>
      <c r="Z33" s="8">
        <v>0</v>
      </c>
    </row>
    <row r="34" spans="1:26" ht="49.2" x14ac:dyDescent="0.3">
      <c r="A34" s="8" t="s">
        <v>27</v>
      </c>
      <c r="B34" s="8" t="s">
        <v>28</v>
      </c>
      <c r="C34" s="8" t="s">
        <v>29</v>
      </c>
      <c r="D34" s="8" t="s">
        <v>41</v>
      </c>
      <c r="E34" s="8" t="s">
        <v>42</v>
      </c>
      <c r="F34" s="8" t="s">
        <v>43</v>
      </c>
      <c r="G34" s="8">
        <v>2023</v>
      </c>
      <c r="H34" s="8" t="str">
        <f>CONCATENATE("34210071923")</f>
        <v>34210071923</v>
      </c>
      <c r="I34" s="8" t="s">
        <v>32</v>
      </c>
      <c r="J34" s="8" t="s">
        <v>33</v>
      </c>
      <c r="K34" s="8" t="str">
        <f t="shared" si="0"/>
        <v/>
      </c>
      <c r="L34" s="8" t="str">
        <f>CONCATENATE("13 13.1 4a")</f>
        <v>13 13.1 4a</v>
      </c>
      <c r="M34" s="8" t="str">
        <f>CONCATENATE("BNCSFN62C04L500O")</f>
        <v>BNCSFN62C04L500O</v>
      </c>
      <c r="N34" s="8" t="s">
        <v>94</v>
      </c>
      <c r="O34" s="8" t="s">
        <v>49</v>
      </c>
      <c r="P34" s="9">
        <v>45355</v>
      </c>
      <c r="Q34" s="8" t="s">
        <v>36</v>
      </c>
      <c r="R34" s="8" t="s">
        <v>37</v>
      </c>
      <c r="S34" s="8" t="s">
        <v>38</v>
      </c>
      <c r="T34" s="8"/>
      <c r="U34" s="8" t="s">
        <v>39</v>
      </c>
      <c r="V34" s="10">
        <v>3557.03</v>
      </c>
      <c r="W34" s="10">
        <v>1533.79</v>
      </c>
      <c r="X34" s="10">
        <v>1416.41</v>
      </c>
      <c r="Y34" s="8">
        <v>606.83000000000004</v>
      </c>
      <c r="Z34" s="8">
        <v>0</v>
      </c>
    </row>
    <row r="35" spans="1:26" ht="30" x14ac:dyDescent="0.3">
      <c r="A35" s="8" t="s">
        <v>27</v>
      </c>
      <c r="B35" s="8" t="s">
        <v>28</v>
      </c>
      <c r="C35" s="8" t="s">
        <v>29</v>
      </c>
      <c r="D35" s="8" t="s">
        <v>45</v>
      </c>
      <c r="E35" s="8" t="s">
        <v>71</v>
      </c>
      <c r="F35" s="8" t="s">
        <v>95</v>
      </c>
      <c r="G35" s="8">
        <v>2023</v>
      </c>
      <c r="H35" s="8" t="str">
        <f>CONCATENATE("34240101898")</f>
        <v>34240101898</v>
      </c>
      <c r="I35" s="8" t="s">
        <v>32</v>
      </c>
      <c r="J35" s="8" t="s">
        <v>33</v>
      </c>
      <c r="K35" s="8" t="str">
        <f t="shared" si="0"/>
        <v/>
      </c>
      <c r="L35" s="8" t="str">
        <f t="shared" ref="L35:L54" si="2">CONCATENATE("11 11.2 4b")</f>
        <v>11 11.2 4b</v>
      </c>
      <c r="M35" s="8" t="str">
        <f>CONCATENATE("02382400444")</f>
        <v>02382400444</v>
      </c>
      <c r="N35" s="8" t="s">
        <v>96</v>
      </c>
      <c r="O35" s="8" t="s">
        <v>35</v>
      </c>
      <c r="P35" s="9">
        <v>45355</v>
      </c>
      <c r="Q35" s="8" t="s">
        <v>36</v>
      </c>
      <c r="R35" s="8" t="s">
        <v>37</v>
      </c>
      <c r="S35" s="8" t="s">
        <v>38</v>
      </c>
      <c r="T35" s="8"/>
      <c r="U35" s="8" t="s">
        <v>39</v>
      </c>
      <c r="V35" s="8">
        <v>103.2</v>
      </c>
      <c r="W35" s="8">
        <v>44.5</v>
      </c>
      <c r="X35" s="8">
        <v>41.09</v>
      </c>
      <c r="Y35" s="8">
        <v>17.61</v>
      </c>
      <c r="Z35" s="8">
        <v>0</v>
      </c>
    </row>
    <row r="36" spans="1:26" ht="58.8" x14ac:dyDescent="0.3">
      <c r="A36" s="8" t="s">
        <v>27</v>
      </c>
      <c r="B36" s="8" t="s">
        <v>28</v>
      </c>
      <c r="C36" s="8" t="s">
        <v>29</v>
      </c>
      <c r="D36" s="8" t="s">
        <v>30</v>
      </c>
      <c r="E36" s="8" t="s">
        <v>71</v>
      </c>
      <c r="F36" s="8" t="s">
        <v>97</v>
      </c>
      <c r="G36" s="8">
        <v>2023</v>
      </c>
      <c r="H36" s="8" t="str">
        <f>CONCATENATE("34240712793")</f>
        <v>34240712793</v>
      </c>
      <c r="I36" s="8" t="s">
        <v>32</v>
      </c>
      <c r="J36" s="8" t="s">
        <v>33</v>
      </c>
      <c r="K36" s="8" t="str">
        <f t="shared" si="0"/>
        <v/>
      </c>
      <c r="L36" s="8" t="str">
        <f t="shared" si="2"/>
        <v>11 11.2 4b</v>
      </c>
      <c r="M36" s="8" t="str">
        <f>CONCATENATE("CRRMNL60B55D210M")</f>
        <v>CRRMNL60B55D210M</v>
      </c>
      <c r="N36" s="8" t="s">
        <v>98</v>
      </c>
      <c r="O36" s="8" t="s">
        <v>35</v>
      </c>
      <c r="P36" s="9">
        <v>45355</v>
      </c>
      <c r="Q36" s="8" t="s">
        <v>36</v>
      </c>
      <c r="R36" s="8" t="s">
        <v>37</v>
      </c>
      <c r="S36" s="8" t="s">
        <v>38</v>
      </c>
      <c r="T36" s="8"/>
      <c r="U36" s="8" t="s">
        <v>39</v>
      </c>
      <c r="V36" s="8">
        <v>238.14</v>
      </c>
      <c r="W36" s="8">
        <v>102.69</v>
      </c>
      <c r="X36" s="8">
        <v>94.83</v>
      </c>
      <c r="Y36" s="8">
        <v>40.619999999999997</v>
      </c>
      <c r="Z36" s="8">
        <v>0</v>
      </c>
    </row>
    <row r="37" spans="1:26" ht="49.2" x14ac:dyDescent="0.3">
      <c r="A37" s="8" t="s">
        <v>27</v>
      </c>
      <c r="B37" s="8" t="s">
        <v>28</v>
      </c>
      <c r="C37" s="8" t="s">
        <v>29</v>
      </c>
      <c r="D37" s="8" t="s">
        <v>30</v>
      </c>
      <c r="E37" s="8" t="s">
        <v>86</v>
      </c>
      <c r="F37" s="8" t="s">
        <v>99</v>
      </c>
      <c r="G37" s="8">
        <v>2023</v>
      </c>
      <c r="H37" s="8" t="str">
        <f>CONCATENATE("34240612357")</f>
        <v>34240612357</v>
      </c>
      <c r="I37" s="8" t="s">
        <v>32</v>
      </c>
      <c r="J37" s="8" t="s">
        <v>33</v>
      </c>
      <c r="K37" s="8" t="str">
        <f t="shared" si="0"/>
        <v/>
      </c>
      <c r="L37" s="8" t="str">
        <f t="shared" si="2"/>
        <v>11 11.2 4b</v>
      </c>
      <c r="M37" s="8" t="str">
        <f>CONCATENATE("TCCMRC98P59A252M")</f>
        <v>TCCMRC98P59A252M</v>
      </c>
      <c r="N37" s="8" t="s">
        <v>100</v>
      </c>
      <c r="O37" s="8" t="s">
        <v>35</v>
      </c>
      <c r="P37" s="9">
        <v>45355</v>
      </c>
      <c r="Q37" s="8" t="s">
        <v>36</v>
      </c>
      <c r="R37" s="8" t="s">
        <v>37</v>
      </c>
      <c r="S37" s="8" t="s">
        <v>38</v>
      </c>
      <c r="T37" s="8"/>
      <c r="U37" s="8" t="s">
        <v>39</v>
      </c>
      <c r="V37" s="10">
        <v>6659.18</v>
      </c>
      <c r="W37" s="10">
        <v>2871.44</v>
      </c>
      <c r="X37" s="10">
        <v>2651.69</v>
      </c>
      <c r="Y37" s="10">
        <v>1136.05</v>
      </c>
      <c r="Z37" s="8">
        <v>0</v>
      </c>
    </row>
    <row r="38" spans="1:26" ht="30" x14ac:dyDescent="0.3">
      <c r="A38" s="8" t="s">
        <v>27</v>
      </c>
      <c r="B38" s="8" t="s">
        <v>28</v>
      </c>
      <c r="C38" s="8" t="s">
        <v>29</v>
      </c>
      <c r="D38" s="8" t="s">
        <v>52</v>
      </c>
      <c r="E38" s="8" t="s">
        <v>57</v>
      </c>
      <c r="F38" s="8" t="s">
        <v>65</v>
      </c>
      <c r="G38" s="8">
        <v>2023</v>
      </c>
      <c r="H38" s="8" t="str">
        <f>CONCATENATE("34240029289")</f>
        <v>34240029289</v>
      </c>
      <c r="I38" s="8" t="s">
        <v>32</v>
      </c>
      <c r="J38" s="8" t="s">
        <v>33</v>
      </c>
      <c r="K38" s="8" t="str">
        <f t="shared" si="0"/>
        <v/>
      </c>
      <c r="L38" s="8" t="str">
        <f t="shared" si="2"/>
        <v>11 11.2 4b</v>
      </c>
      <c r="M38" s="8" t="str">
        <f>CONCATENATE("02486570407")</f>
        <v>02486570407</v>
      </c>
      <c r="N38" s="8" t="s">
        <v>101</v>
      </c>
      <c r="O38" s="8" t="s">
        <v>35</v>
      </c>
      <c r="P38" s="9">
        <v>45355</v>
      </c>
      <c r="Q38" s="8" t="s">
        <v>36</v>
      </c>
      <c r="R38" s="8" t="s">
        <v>37</v>
      </c>
      <c r="S38" s="8" t="s">
        <v>38</v>
      </c>
      <c r="T38" s="8"/>
      <c r="U38" s="8" t="s">
        <v>39</v>
      </c>
      <c r="V38" s="10">
        <v>2426.13</v>
      </c>
      <c r="W38" s="10">
        <v>1046.1500000000001</v>
      </c>
      <c r="X38" s="8">
        <v>966.08</v>
      </c>
      <c r="Y38" s="8">
        <v>413.9</v>
      </c>
      <c r="Z38" s="8">
        <v>0</v>
      </c>
    </row>
    <row r="39" spans="1:26" ht="30" x14ac:dyDescent="0.3">
      <c r="A39" s="8" t="s">
        <v>27</v>
      </c>
      <c r="B39" s="8" t="s">
        <v>28</v>
      </c>
      <c r="C39" s="8" t="s">
        <v>29</v>
      </c>
      <c r="D39" s="8" t="s">
        <v>52</v>
      </c>
      <c r="E39" s="8" t="s">
        <v>57</v>
      </c>
      <c r="F39" s="8" t="s">
        <v>65</v>
      </c>
      <c r="G39" s="8">
        <v>2023</v>
      </c>
      <c r="H39" s="8" t="str">
        <f>CONCATENATE("34240402312")</f>
        <v>34240402312</v>
      </c>
      <c r="I39" s="8" t="s">
        <v>32</v>
      </c>
      <c r="J39" s="8" t="s">
        <v>33</v>
      </c>
      <c r="K39" s="8" t="str">
        <f t="shared" si="0"/>
        <v/>
      </c>
      <c r="L39" s="8" t="str">
        <f t="shared" si="2"/>
        <v>11 11.2 4b</v>
      </c>
      <c r="M39" s="8" t="str">
        <f>CONCATENATE("00078000429")</f>
        <v>00078000429</v>
      </c>
      <c r="N39" s="8" t="s">
        <v>102</v>
      </c>
      <c r="O39" s="8" t="s">
        <v>35</v>
      </c>
      <c r="P39" s="9">
        <v>45355</v>
      </c>
      <c r="Q39" s="8" t="s">
        <v>36</v>
      </c>
      <c r="R39" s="8" t="s">
        <v>37</v>
      </c>
      <c r="S39" s="8" t="s">
        <v>38</v>
      </c>
      <c r="T39" s="8"/>
      <c r="U39" s="8" t="s">
        <v>39</v>
      </c>
      <c r="V39" s="10">
        <v>16751.38</v>
      </c>
      <c r="W39" s="10">
        <v>7223.2</v>
      </c>
      <c r="X39" s="10">
        <v>6670.4</v>
      </c>
      <c r="Y39" s="10">
        <v>2857.78</v>
      </c>
      <c r="Z39" s="8">
        <v>0</v>
      </c>
    </row>
    <row r="40" spans="1:26" ht="30" x14ac:dyDescent="0.3">
      <c r="A40" s="8" t="s">
        <v>27</v>
      </c>
      <c r="B40" s="8" t="s">
        <v>28</v>
      </c>
      <c r="C40" s="8" t="s">
        <v>29</v>
      </c>
      <c r="D40" s="8" t="s">
        <v>52</v>
      </c>
      <c r="E40" s="8" t="s">
        <v>57</v>
      </c>
      <c r="F40" s="8" t="s">
        <v>65</v>
      </c>
      <c r="G40" s="8">
        <v>2023</v>
      </c>
      <c r="H40" s="8" t="str">
        <f>CONCATENATE("34240143619")</f>
        <v>34240143619</v>
      </c>
      <c r="I40" s="8" t="s">
        <v>32</v>
      </c>
      <c r="J40" s="8" t="s">
        <v>33</v>
      </c>
      <c r="K40" s="8" t="str">
        <f t="shared" si="0"/>
        <v/>
      </c>
      <c r="L40" s="8" t="str">
        <f t="shared" si="2"/>
        <v>11 11.2 4b</v>
      </c>
      <c r="M40" s="8" t="str">
        <f>CONCATENATE("02559890427")</f>
        <v>02559890427</v>
      </c>
      <c r="N40" s="8" t="s">
        <v>103</v>
      </c>
      <c r="O40" s="8" t="s">
        <v>35</v>
      </c>
      <c r="P40" s="9">
        <v>45355</v>
      </c>
      <c r="Q40" s="8" t="s">
        <v>36</v>
      </c>
      <c r="R40" s="8" t="s">
        <v>37</v>
      </c>
      <c r="S40" s="8" t="s">
        <v>38</v>
      </c>
      <c r="T40" s="8"/>
      <c r="U40" s="8" t="s">
        <v>39</v>
      </c>
      <c r="V40" s="8">
        <v>329.72</v>
      </c>
      <c r="W40" s="8">
        <v>142.18</v>
      </c>
      <c r="X40" s="8">
        <v>131.29</v>
      </c>
      <c r="Y40" s="8">
        <v>56.25</v>
      </c>
      <c r="Z40" s="8">
        <v>0</v>
      </c>
    </row>
    <row r="41" spans="1:26" ht="49.2" x14ac:dyDescent="0.3">
      <c r="A41" s="8" t="s">
        <v>27</v>
      </c>
      <c r="B41" s="8" t="s">
        <v>28</v>
      </c>
      <c r="C41" s="8" t="s">
        <v>29</v>
      </c>
      <c r="D41" s="8" t="s">
        <v>30</v>
      </c>
      <c r="E41" s="8" t="s">
        <v>46</v>
      </c>
      <c r="F41" s="8" t="s">
        <v>104</v>
      </c>
      <c r="G41" s="8">
        <v>2023</v>
      </c>
      <c r="H41" s="8" t="str">
        <f>CONCATENATE("34240774660")</f>
        <v>34240774660</v>
      </c>
      <c r="I41" s="8" t="s">
        <v>32</v>
      </c>
      <c r="J41" s="8" t="s">
        <v>33</v>
      </c>
      <c r="K41" s="8" t="str">
        <f t="shared" si="0"/>
        <v/>
      </c>
      <c r="L41" s="8" t="str">
        <f t="shared" si="2"/>
        <v>11 11.2 4b</v>
      </c>
      <c r="M41" s="8" t="str">
        <f>CONCATENATE("VRGMRS36P52B727N")</f>
        <v>VRGMRS36P52B727N</v>
      </c>
      <c r="N41" s="8" t="s">
        <v>105</v>
      </c>
      <c r="O41" s="8" t="s">
        <v>35</v>
      </c>
      <c r="P41" s="9">
        <v>45355</v>
      </c>
      <c r="Q41" s="8" t="s">
        <v>36</v>
      </c>
      <c r="R41" s="8" t="s">
        <v>37</v>
      </c>
      <c r="S41" s="8" t="s">
        <v>38</v>
      </c>
      <c r="T41" s="8"/>
      <c r="U41" s="8" t="s">
        <v>39</v>
      </c>
      <c r="V41" s="10">
        <v>12543.8</v>
      </c>
      <c r="W41" s="10">
        <v>5408.89</v>
      </c>
      <c r="X41" s="10">
        <v>4994.9399999999996</v>
      </c>
      <c r="Y41" s="10">
        <v>2139.9699999999998</v>
      </c>
      <c r="Z41" s="8">
        <v>0</v>
      </c>
    </row>
    <row r="42" spans="1:26" ht="58.8" x14ac:dyDescent="0.3">
      <c r="A42" s="8" t="s">
        <v>27</v>
      </c>
      <c r="B42" s="8" t="s">
        <v>28</v>
      </c>
      <c r="C42" s="8" t="s">
        <v>29</v>
      </c>
      <c r="D42" s="8" t="s">
        <v>52</v>
      </c>
      <c r="E42" s="8" t="s">
        <v>71</v>
      </c>
      <c r="F42" s="8" t="s">
        <v>95</v>
      </c>
      <c r="G42" s="8">
        <v>2023</v>
      </c>
      <c r="H42" s="8" t="str">
        <f>CONCATENATE("34240323740")</f>
        <v>34240323740</v>
      </c>
      <c r="I42" s="8" t="s">
        <v>32</v>
      </c>
      <c r="J42" s="8" t="s">
        <v>33</v>
      </c>
      <c r="K42" s="8" t="str">
        <f t="shared" si="0"/>
        <v/>
      </c>
      <c r="L42" s="8" t="str">
        <f t="shared" si="2"/>
        <v>11 11.2 4b</v>
      </c>
      <c r="M42" s="8" t="str">
        <f>CONCATENATE("STRSVN52B65D451B")</f>
        <v>STRSVN52B65D451B</v>
      </c>
      <c r="N42" s="8" t="s">
        <v>106</v>
      </c>
      <c r="O42" s="8" t="s">
        <v>35</v>
      </c>
      <c r="P42" s="9">
        <v>45355</v>
      </c>
      <c r="Q42" s="8" t="s">
        <v>36</v>
      </c>
      <c r="R42" s="8" t="s">
        <v>37</v>
      </c>
      <c r="S42" s="8" t="s">
        <v>38</v>
      </c>
      <c r="T42" s="8"/>
      <c r="U42" s="8" t="s">
        <v>39</v>
      </c>
      <c r="V42" s="10">
        <v>1610.6</v>
      </c>
      <c r="W42" s="8">
        <v>694.49</v>
      </c>
      <c r="X42" s="8">
        <v>641.34</v>
      </c>
      <c r="Y42" s="8">
        <v>274.77</v>
      </c>
      <c r="Z42" s="8">
        <v>0</v>
      </c>
    </row>
    <row r="43" spans="1:26" ht="49.2" x14ac:dyDescent="0.3">
      <c r="A43" s="8" t="s">
        <v>27</v>
      </c>
      <c r="B43" s="8" t="s">
        <v>28</v>
      </c>
      <c r="C43" s="8" t="s">
        <v>29</v>
      </c>
      <c r="D43" s="8" t="s">
        <v>52</v>
      </c>
      <c r="E43" s="8" t="s">
        <v>46</v>
      </c>
      <c r="F43" s="8" t="s">
        <v>107</v>
      </c>
      <c r="G43" s="8">
        <v>2023</v>
      </c>
      <c r="H43" s="8" t="str">
        <f>CONCATENATE("34240278795")</f>
        <v>34240278795</v>
      </c>
      <c r="I43" s="8" t="s">
        <v>32</v>
      </c>
      <c r="J43" s="8" t="s">
        <v>33</v>
      </c>
      <c r="K43" s="8" t="str">
        <f t="shared" si="0"/>
        <v/>
      </c>
      <c r="L43" s="8" t="str">
        <f t="shared" si="2"/>
        <v>11 11.2 4b</v>
      </c>
      <c r="M43" s="8" t="str">
        <f>CONCATENATE("TNTGRG75S17E388V")</f>
        <v>TNTGRG75S17E388V</v>
      </c>
      <c r="N43" s="8" t="s">
        <v>108</v>
      </c>
      <c r="O43" s="8" t="s">
        <v>35</v>
      </c>
      <c r="P43" s="9">
        <v>45355</v>
      </c>
      <c r="Q43" s="8" t="s">
        <v>36</v>
      </c>
      <c r="R43" s="8" t="s">
        <v>37</v>
      </c>
      <c r="S43" s="8" t="s">
        <v>38</v>
      </c>
      <c r="T43" s="8"/>
      <c r="U43" s="8" t="s">
        <v>39</v>
      </c>
      <c r="V43" s="8">
        <v>305.95</v>
      </c>
      <c r="W43" s="8">
        <v>131.93</v>
      </c>
      <c r="X43" s="8">
        <v>121.83</v>
      </c>
      <c r="Y43" s="8">
        <v>52.19</v>
      </c>
      <c r="Z43" s="8">
        <v>0</v>
      </c>
    </row>
    <row r="44" spans="1:26" ht="49.2" x14ac:dyDescent="0.3">
      <c r="A44" s="8" t="s">
        <v>27</v>
      </c>
      <c r="B44" s="8" t="s">
        <v>28</v>
      </c>
      <c r="C44" s="8" t="s">
        <v>29</v>
      </c>
      <c r="D44" s="8" t="s">
        <v>52</v>
      </c>
      <c r="E44" s="8" t="s">
        <v>46</v>
      </c>
      <c r="F44" s="8" t="s">
        <v>107</v>
      </c>
      <c r="G44" s="8">
        <v>2022</v>
      </c>
      <c r="H44" s="8" t="str">
        <f>CONCATENATE("24240251249")</f>
        <v>24240251249</v>
      </c>
      <c r="I44" s="8" t="s">
        <v>32</v>
      </c>
      <c r="J44" s="8" t="s">
        <v>33</v>
      </c>
      <c r="K44" s="8" t="str">
        <f t="shared" si="0"/>
        <v/>
      </c>
      <c r="L44" s="8" t="str">
        <f t="shared" si="2"/>
        <v>11 11.2 4b</v>
      </c>
      <c r="M44" s="8" t="str">
        <f>CONCATENATE("BGTRRT71E09E388U")</f>
        <v>BGTRRT71E09E388U</v>
      </c>
      <c r="N44" s="8" t="s">
        <v>109</v>
      </c>
      <c r="O44" s="8" t="s">
        <v>35</v>
      </c>
      <c r="P44" s="9">
        <v>45355</v>
      </c>
      <c r="Q44" s="8" t="s">
        <v>36</v>
      </c>
      <c r="R44" s="8" t="s">
        <v>37</v>
      </c>
      <c r="S44" s="8" t="s">
        <v>38</v>
      </c>
      <c r="T44" s="8"/>
      <c r="U44" s="8" t="s">
        <v>39</v>
      </c>
      <c r="V44" s="8">
        <v>689.7</v>
      </c>
      <c r="W44" s="8">
        <v>297.39999999999998</v>
      </c>
      <c r="X44" s="8">
        <v>274.64</v>
      </c>
      <c r="Y44" s="8">
        <v>117.66</v>
      </c>
      <c r="Z44" s="8">
        <v>0</v>
      </c>
    </row>
    <row r="45" spans="1:26" ht="49.2" x14ac:dyDescent="0.3">
      <c r="A45" s="8" t="s">
        <v>27</v>
      </c>
      <c r="B45" s="8" t="s">
        <v>28</v>
      </c>
      <c r="C45" s="8" t="s">
        <v>29</v>
      </c>
      <c r="D45" s="8" t="s">
        <v>41</v>
      </c>
      <c r="E45" s="8" t="s">
        <v>46</v>
      </c>
      <c r="F45" s="8" t="s">
        <v>110</v>
      </c>
      <c r="G45" s="8">
        <v>2023</v>
      </c>
      <c r="H45" s="8" t="str">
        <f>CONCATENATE("34240657071")</f>
        <v>34240657071</v>
      </c>
      <c r="I45" s="8" t="s">
        <v>32</v>
      </c>
      <c r="J45" s="8" t="s">
        <v>33</v>
      </c>
      <c r="K45" s="8" t="str">
        <f t="shared" si="0"/>
        <v/>
      </c>
      <c r="L45" s="8" t="str">
        <f t="shared" si="2"/>
        <v>11 11.2 4b</v>
      </c>
      <c r="M45" s="8" t="str">
        <f>CONCATENATE("GRRNDR79A29I287J")</f>
        <v>GRRNDR79A29I287J</v>
      </c>
      <c r="N45" s="8" t="s">
        <v>111</v>
      </c>
      <c r="O45" s="8" t="s">
        <v>35</v>
      </c>
      <c r="P45" s="9">
        <v>45355</v>
      </c>
      <c r="Q45" s="8" t="s">
        <v>36</v>
      </c>
      <c r="R45" s="8" t="s">
        <v>37</v>
      </c>
      <c r="S45" s="8" t="s">
        <v>38</v>
      </c>
      <c r="T45" s="8"/>
      <c r="U45" s="8" t="s">
        <v>39</v>
      </c>
      <c r="V45" s="10">
        <v>10361.42</v>
      </c>
      <c r="W45" s="10">
        <v>4467.84</v>
      </c>
      <c r="X45" s="10">
        <v>4125.92</v>
      </c>
      <c r="Y45" s="10">
        <v>1767.66</v>
      </c>
      <c r="Z45" s="8">
        <v>0</v>
      </c>
    </row>
    <row r="46" spans="1:26" ht="49.2" x14ac:dyDescent="0.3">
      <c r="A46" s="8" t="s">
        <v>27</v>
      </c>
      <c r="B46" s="8" t="s">
        <v>28</v>
      </c>
      <c r="C46" s="8" t="s">
        <v>29</v>
      </c>
      <c r="D46" s="8" t="s">
        <v>41</v>
      </c>
      <c r="E46" s="8" t="s">
        <v>46</v>
      </c>
      <c r="F46" s="8" t="s">
        <v>110</v>
      </c>
      <c r="G46" s="8">
        <v>2023</v>
      </c>
      <c r="H46" s="8" t="str">
        <f>CONCATENATE("34240347434")</f>
        <v>34240347434</v>
      </c>
      <c r="I46" s="8" t="s">
        <v>32</v>
      </c>
      <c r="J46" s="8" t="s">
        <v>33</v>
      </c>
      <c r="K46" s="8" t="str">
        <f t="shared" si="0"/>
        <v/>
      </c>
      <c r="L46" s="8" t="str">
        <f t="shared" si="2"/>
        <v>11 11.2 4b</v>
      </c>
      <c r="M46" s="8" t="str">
        <f>CONCATENATE("CRDRRT68T09I287N")</f>
        <v>CRDRRT68T09I287N</v>
      </c>
      <c r="N46" s="8" t="s">
        <v>112</v>
      </c>
      <c r="O46" s="8" t="s">
        <v>35</v>
      </c>
      <c r="P46" s="9">
        <v>45355</v>
      </c>
      <c r="Q46" s="8" t="s">
        <v>36</v>
      </c>
      <c r="R46" s="8" t="s">
        <v>37</v>
      </c>
      <c r="S46" s="8" t="s">
        <v>38</v>
      </c>
      <c r="T46" s="8"/>
      <c r="U46" s="8" t="s">
        <v>39</v>
      </c>
      <c r="V46" s="10">
        <v>2008.76</v>
      </c>
      <c r="W46" s="8">
        <v>866.18</v>
      </c>
      <c r="X46" s="8">
        <v>799.89</v>
      </c>
      <c r="Y46" s="8">
        <v>342.69</v>
      </c>
      <c r="Z46" s="8">
        <v>0</v>
      </c>
    </row>
    <row r="47" spans="1:26" ht="30" x14ac:dyDescent="0.3">
      <c r="A47" s="8" t="s">
        <v>27</v>
      </c>
      <c r="B47" s="8" t="s">
        <v>28</v>
      </c>
      <c r="C47" s="8" t="s">
        <v>29</v>
      </c>
      <c r="D47" s="8" t="s">
        <v>41</v>
      </c>
      <c r="E47" s="8" t="s">
        <v>46</v>
      </c>
      <c r="F47" s="8" t="s">
        <v>92</v>
      </c>
      <c r="G47" s="8">
        <v>2023</v>
      </c>
      <c r="H47" s="8" t="str">
        <f>CONCATENATE("34240329838")</f>
        <v>34240329838</v>
      </c>
      <c r="I47" s="8" t="s">
        <v>32</v>
      </c>
      <c r="J47" s="8" t="s">
        <v>33</v>
      </c>
      <c r="K47" s="8" t="str">
        <f t="shared" si="0"/>
        <v/>
      </c>
      <c r="L47" s="8" t="str">
        <f t="shared" si="2"/>
        <v>11 11.2 4b</v>
      </c>
      <c r="M47" s="8" t="str">
        <f>CONCATENATE("02334280415")</f>
        <v>02334280415</v>
      </c>
      <c r="N47" s="8" t="s">
        <v>113</v>
      </c>
      <c r="O47" s="8" t="s">
        <v>35</v>
      </c>
      <c r="P47" s="9">
        <v>45355</v>
      </c>
      <c r="Q47" s="8" t="s">
        <v>36</v>
      </c>
      <c r="R47" s="8" t="s">
        <v>37</v>
      </c>
      <c r="S47" s="8" t="s">
        <v>38</v>
      </c>
      <c r="T47" s="8"/>
      <c r="U47" s="8" t="s">
        <v>39</v>
      </c>
      <c r="V47" s="10">
        <v>4486.57</v>
      </c>
      <c r="W47" s="10">
        <v>1934.61</v>
      </c>
      <c r="X47" s="10">
        <v>1786.55</v>
      </c>
      <c r="Y47" s="8">
        <v>765.41</v>
      </c>
      <c r="Z47" s="8">
        <v>0</v>
      </c>
    </row>
    <row r="48" spans="1:26" ht="49.2" x14ac:dyDescent="0.3">
      <c r="A48" s="8" t="s">
        <v>27</v>
      </c>
      <c r="B48" s="8" t="s">
        <v>28</v>
      </c>
      <c r="C48" s="8" t="s">
        <v>29</v>
      </c>
      <c r="D48" s="8" t="s">
        <v>41</v>
      </c>
      <c r="E48" s="8" t="s">
        <v>57</v>
      </c>
      <c r="F48" s="8" t="s">
        <v>114</v>
      </c>
      <c r="G48" s="8">
        <v>2023</v>
      </c>
      <c r="H48" s="8" t="str">
        <f>CONCATENATE("34240543818")</f>
        <v>34240543818</v>
      </c>
      <c r="I48" s="8" t="s">
        <v>32</v>
      </c>
      <c r="J48" s="8" t="s">
        <v>33</v>
      </c>
      <c r="K48" s="8" t="str">
        <f t="shared" si="0"/>
        <v/>
      </c>
      <c r="L48" s="8" t="str">
        <f t="shared" si="2"/>
        <v>11 11.2 4b</v>
      </c>
      <c r="M48" s="8" t="str">
        <f>CONCATENATE("VGNLFR61A12B846J")</f>
        <v>VGNLFR61A12B846J</v>
      </c>
      <c r="N48" s="8" t="s">
        <v>115</v>
      </c>
      <c r="O48" s="8" t="s">
        <v>35</v>
      </c>
      <c r="P48" s="9">
        <v>45355</v>
      </c>
      <c r="Q48" s="8" t="s">
        <v>36</v>
      </c>
      <c r="R48" s="8" t="s">
        <v>37</v>
      </c>
      <c r="S48" s="8" t="s">
        <v>38</v>
      </c>
      <c r="T48" s="8"/>
      <c r="U48" s="8" t="s">
        <v>39</v>
      </c>
      <c r="V48" s="10">
        <v>14089.24</v>
      </c>
      <c r="W48" s="10">
        <v>6075.28</v>
      </c>
      <c r="X48" s="10">
        <v>5610.34</v>
      </c>
      <c r="Y48" s="10">
        <v>2403.62</v>
      </c>
      <c r="Z48" s="8">
        <v>0</v>
      </c>
    </row>
    <row r="49" spans="1:26" ht="49.2" x14ac:dyDescent="0.3">
      <c r="A49" s="8" t="s">
        <v>27</v>
      </c>
      <c r="B49" s="8" t="s">
        <v>28</v>
      </c>
      <c r="C49" s="8" t="s">
        <v>29</v>
      </c>
      <c r="D49" s="8" t="s">
        <v>52</v>
      </c>
      <c r="E49" s="8" t="s">
        <v>71</v>
      </c>
      <c r="F49" s="8" t="s">
        <v>116</v>
      </c>
      <c r="G49" s="8">
        <v>2023</v>
      </c>
      <c r="H49" s="8" t="str">
        <f>CONCATENATE("34240141506")</f>
        <v>34240141506</v>
      </c>
      <c r="I49" s="8" t="s">
        <v>32</v>
      </c>
      <c r="J49" s="8" t="s">
        <v>33</v>
      </c>
      <c r="K49" s="8" t="str">
        <f t="shared" si="0"/>
        <v/>
      </c>
      <c r="L49" s="8" t="str">
        <f t="shared" si="2"/>
        <v>11 11.2 4b</v>
      </c>
      <c r="M49" s="8" t="str">
        <f>CONCATENATE("BLZFNC68P44I608M")</f>
        <v>BLZFNC68P44I608M</v>
      </c>
      <c r="N49" s="8" t="s">
        <v>117</v>
      </c>
      <c r="O49" s="8" t="s">
        <v>35</v>
      </c>
      <c r="P49" s="9">
        <v>45355</v>
      </c>
      <c r="Q49" s="8" t="s">
        <v>36</v>
      </c>
      <c r="R49" s="8" t="s">
        <v>37</v>
      </c>
      <c r="S49" s="8" t="s">
        <v>38</v>
      </c>
      <c r="T49" s="8"/>
      <c r="U49" s="8" t="s">
        <v>39</v>
      </c>
      <c r="V49" s="8">
        <v>197.45</v>
      </c>
      <c r="W49" s="8">
        <v>85.14</v>
      </c>
      <c r="X49" s="8">
        <v>78.62</v>
      </c>
      <c r="Y49" s="8">
        <v>33.69</v>
      </c>
      <c r="Z49" s="8">
        <v>0</v>
      </c>
    </row>
    <row r="50" spans="1:26" ht="49.2" x14ac:dyDescent="0.3">
      <c r="A50" s="8" t="s">
        <v>27</v>
      </c>
      <c r="B50" s="8" t="s">
        <v>28</v>
      </c>
      <c r="C50" s="8" t="s">
        <v>29</v>
      </c>
      <c r="D50" s="8" t="s">
        <v>30</v>
      </c>
      <c r="E50" s="8" t="s">
        <v>71</v>
      </c>
      <c r="F50" s="8" t="s">
        <v>97</v>
      </c>
      <c r="G50" s="8">
        <v>2023</v>
      </c>
      <c r="H50" s="8" t="str">
        <f>CONCATENATE("34240261809")</f>
        <v>34240261809</v>
      </c>
      <c r="I50" s="8" t="s">
        <v>32</v>
      </c>
      <c r="J50" s="8" t="s">
        <v>33</v>
      </c>
      <c r="K50" s="8" t="str">
        <f t="shared" si="0"/>
        <v/>
      </c>
      <c r="L50" s="8" t="str">
        <f t="shared" si="2"/>
        <v>11 11.2 4b</v>
      </c>
      <c r="M50" s="8" t="str">
        <f>CONCATENATE("MRNNRT46S02F501P")</f>
        <v>MRNNRT46S02F501P</v>
      </c>
      <c r="N50" s="8" t="s">
        <v>118</v>
      </c>
      <c r="O50" s="8" t="s">
        <v>35</v>
      </c>
      <c r="P50" s="9">
        <v>45355</v>
      </c>
      <c r="Q50" s="8" t="s">
        <v>36</v>
      </c>
      <c r="R50" s="8" t="s">
        <v>37</v>
      </c>
      <c r="S50" s="8" t="s">
        <v>38</v>
      </c>
      <c r="T50" s="8"/>
      <c r="U50" s="8" t="s">
        <v>39</v>
      </c>
      <c r="V50" s="8">
        <v>409.06</v>
      </c>
      <c r="W50" s="8">
        <v>176.39</v>
      </c>
      <c r="X50" s="8">
        <v>162.88999999999999</v>
      </c>
      <c r="Y50" s="8">
        <v>69.78</v>
      </c>
      <c r="Z50" s="8">
        <v>0</v>
      </c>
    </row>
    <row r="51" spans="1:26" ht="49.2" x14ac:dyDescent="0.3">
      <c r="A51" s="8" t="s">
        <v>27</v>
      </c>
      <c r="B51" s="8" t="s">
        <v>28</v>
      </c>
      <c r="C51" s="8" t="s">
        <v>29</v>
      </c>
      <c r="D51" s="8" t="s">
        <v>30</v>
      </c>
      <c r="E51" s="8" t="s">
        <v>71</v>
      </c>
      <c r="F51" s="8" t="s">
        <v>97</v>
      </c>
      <c r="G51" s="8">
        <v>2016</v>
      </c>
      <c r="H51" s="8" t="str">
        <f>CONCATENATE("64240414116")</f>
        <v>64240414116</v>
      </c>
      <c r="I51" s="8" t="s">
        <v>32</v>
      </c>
      <c r="J51" s="8" t="s">
        <v>33</v>
      </c>
      <c r="K51" s="8" t="str">
        <f t="shared" si="0"/>
        <v/>
      </c>
      <c r="L51" s="8" t="str">
        <f t="shared" si="2"/>
        <v>11 11.2 4b</v>
      </c>
      <c r="M51" s="8" t="str">
        <f>CONCATENATE("MRNNRT46S02F501P")</f>
        <v>MRNNRT46S02F501P</v>
      </c>
      <c r="N51" s="8" t="s">
        <v>118</v>
      </c>
      <c r="O51" s="8" t="s">
        <v>35</v>
      </c>
      <c r="P51" s="9">
        <v>45355</v>
      </c>
      <c r="Q51" s="8" t="s">
        <v>36</v>
      </c>
      <c r="R51" s="8" t="s">
        <v>37</v>
      </c>
      <c r="S51" s="8" t="s">
        <v>38</v>
      </c>
      <c r="T51" s="8"/>
      <c r="U51" s="8" t="s">
        <v>39</v>
      </c>
      <c r="V51" s="10">
        <v>2478.15</v>
      </c>
      <c r="W51" s="10">
        <v>1068.58</v>
      </c>
      <c r="X51" s="8">
        <v>986.8</v>
      </c>
      <c r="Y51" s="8">
        <v>422.77</v>
      </c>
      <c r="Z51" s="8">
        <v>0</v>
      </c>
    </row>
    <row r="52" spans="1:26" ht="49.2" x14ac:dyDescent="0.3">
      <c r="A52" s="8" t="s">
        <v>27</v>
      </c>
      <c r="B52" s="8" t="s">
        <v>28</v>
      </c>
      <c r="C52" s="8" t="s">
        <v>29</v>
      </c>
      <c r="D52" s="8" t="s">
        <v>30</v>
      </c>
      <c r="E52" s="8" t="s">
        <v>57</v>
      </c>
      <c r="F52" s="8" t="s">
        <v>119</v>
      </c>
      <c r="G52" s="8">
        <v>2023</v>
      </c>
      <c r="H52" s="8" t="str">
        <f>CONCATENATE("34240197045")</f>
        <v>34240197045</v>
      </c>
      <c r="I52" s="8" t="s">
        <v>120</v>
      </c>
      <c r="J52" s="8" t="s">
        <v>33</v>
      </c>
      <c r="K52" s="8" t="str">
        <f t="shared" si="0"/>
        <v/>
      </c>
      <c r="L52" s="8" t="str">
        <f t="shared" si="2"/>
        <v>11 11.2 4b</v>
      </c>
      <c r="M52" s="8" t="str">
        <f>CONCATENATE("VLLFBA83E25H769X")</f>
        <v>VLLFBA83E25H769X</v>
      </c>
      <c r="N52" s="8" t="s">
        <v>121</v>
      </c>
      <c r="O52" s="8" t="s">
        <v>35</v>
      </c>
      <c r="P52" s="9">
        <v>45355</v>
      </c>
      <c r="Q52" s="8" t="s">
        <v>36</v>
      </c>
      <c r="R52" s="8" t="s">
        <v>37</v>
      </c>
      <c r="S52" s="8" t="s">
        <v>38</v>
      </c>
      <c r="T52" s="8"/>
      <c r="U52" s="8" t="s">
        <v>39</v>
      </c>
      <c r="V52" s="10">
        <v>1563.62</v>
      </c>
      <c r="W52" s="8">
        <v>674.23</v>
      </c>
      <c r="X52" s="8">
        <v>622.63</v>
      </c>
      <c r="Y52" s="8">
        <v>266.76</v>
      </c>
      <c r="Z52" s="8">
        <v>0</v>
      </c>
    </row>
    <row r="53" spans="1:26" ht="49.2" x14ac:dyDescent="0.3">
      <c r="A53" s="8" t="s">
        <v>27</v>
      </c>
      <c r="B53" s="8" t="s">
        <v>28</v>
      </c>
      <c r="C53" s="8" t="s">
        <v>29</v>
      </c>
      <c r="D53" s="8" t="s">
        <v>52</v>
      </c>
      <c r="E53" s="8" t="s">
        <v>57</v>
      </c>
      <c r="F53" s="8" t="s">
        <v>65</v>
      </c>
      <c r="G53" s="8">
        <v>2023</v>
      </c>
      <c r="H53" s="8" t="str">
        <f>CONCATENATE("34240415090")</f>
        <v>34240415090</v>
      </c>
      <c r="I53" s="8" t="s">
        <v>32</v>
      </c>
      <c r="J53" s="8" t="s">
        <v>33</v>
      </c>
      <c r="K53" s="8" t="str">
        <f t="shared" si="0"/>
        <v/>
      </c>
      <c r="L53" s="8" t="str">
        <f t="shared" si="2"/>
        <v>11 11.2 4b</v>
      </c>
      <c r="M53" s="8" t="str">
        <f>CONCATENATE("BNCNLS40A50H501L")</f>
        <v>BNCNLS40A50H501L</v>
      </c>
      <c r="N53" s="8" t="s">
        <v>122</v>
      </c>
      <c r="O53" s="8" t="s">
        <v>35</v>
      </c>
      <c r="P53" s="9">
        <v>45355</v>
      </c>
      <c r="Q53" s="8" t="s">
        <v>36</v>
      </c>
      <c r="R53" s="8" t="s">
        <v>37</v>
      </c>
      <c r="S53" s="8" t="s">
        <v>38</v>
      </c>
      <c r="T53" s="8"/>
      <c r="U53" s="8" t="s">
        <v>39</v>
      </c>
      <c r="V53" s="10">
        <v>80264.639999999999</v>
      </c>
      <c r="W53" s="10">
        <v>34610.11</v>
      </c>
      <c r="X53" s="10">
        <v>31961.38</v>
      </c>
      <c r="Y53" s="10">
        <v>13693.15</v>
      </c>
      <c r="Z53" s="8">
        <v>0</v>
      </c>
    </row>
    <row r="54" spans="1:26" ht="30" x14ac:dyDescent="0.3">
      <c r="A54" s="8" t="s">
        <v>27</v>
      </c>
      <c r="B54" s="8" t="s">
        <v>28</v>
      </c>
      <c r="C54" s="8" t="s">
        <v>29</v>
      </c>
      <c r="D54" s="8" t="s">
        <v>52</v>
      </c>
      <c r="E54" s="8" t="s">
        <v>71</v>
      </c>
      <c r="F54" s="8" t="s">
        <v>95</v>
      </c>
      <c r="G54" s="8">
        <v>2023</v>
      </c>
      <c r="H54" s="8" t="str">
        <f>CONCATENATE("34240348812")</f>
        <v>34240348812</v>
      </c>
      <c r="I54" s="8" t="s">
        <v>32</v>
      </c>
      <c r="J54" s="8" t="s">
        <v>33</v>
      </c>
      <c r="K54" s="8" t="str">
        <f t="shared" si="0"/>
        <v/>
      </c>
      <c r="L54" s="8" t="str">
        <f t="shared" si="2"/>
        <v>11 11.2 4b</v>
      </c>
      <c r="M54" s="8" t="str">
        <f>CONCATENATE("02781250424")</f>
        <v>02781250424</v>
      </c>
      <c r="N54" s="8" t="s">
        <v>123</v>
      </c>
      <c r="O54" s="8" t="s">
        <v>35</v>
      </c>
      <c r="P54" s="9">
        <v>45355</v>
      </c>
      <c r="Q54" s="8" t="s">
        <v>36</v>
      </c>
      <c r="R54" s="8" t="s">
        <v>37</v>
      </c>
      <c r="S54" s="8" t="s">
        <v>38</v>
      </c>
      <c r="T54" s="8"/>
      <c r="U54" s="8" t="s">
        <v>39</v>
      </c>
      <c r="V54" s="10">
        <v>2604.92</v>
      </c>
      <c r="W54" s="10">
        <v>1123.24</v>
      </c>
      <c r="X54" s="10">
        <v>1037.28</v>
      </c>
      <c r="Y54" s="8">
        <v>444.4</v>
      </c>
      <c r="Z54" s="8">
        <v>0</v>
      </c>
    </row>
    <row r="55" spans="1:26" ht="30" x14ac:dyDescent="0.3">
      <c r="A55" s="8" t="s">
        <v>27</v>
      </c>
      <c r="B55" s="8" t="s">
        <v>28</v>
      </c>
      <c r="C55" s="8" t="s">
        <v>29</v>
      </c>
      <c r="D55" s="8" t="s">
        <v>52</v>
      </c>
      <c r="E55" s="8" t="s">
        <v>71</v>
      </c>
      <c r="F55" s="8" t="s">
        <v>95</v>
      </c>
      <c r="G55" s="8">
        <v>2023</v>
      </c>
      <c r="H55" s="8" t="str">
        <f>CONCATENATE("34210067798")</f>
        <v>34210067798</v>
      </c>
      <c r="I55" s="8" t="s">
        <v>32</v>
      </c>
      <c r="J55" s="8" t="s">
        <v>33</v>
      </c>
      <c r="K55" s="8" t="str">
        <f t="shared" si="0"/>
        <v/>
      </c>
      <c r="L55" s="8" t="str">
        <f>CONCATENATE("13 13.1 4a")</f>
        <v>13 13.1 4a</v>
      </c>
      <c r="M55" s="8" t="str">
        <f>CONCATENATE("02781250424")</f>
        <v>02781250424</v>
      </c>
      <c r="N55" s="8" t="s">
        <v>123</v>
      </c>
      <c r="O55" s="8" t="s">
        <v>49</v>
      </c>
      <c r="P55" s="9">
        <v>45355</v>
      </c>
      <c r="Q55" s="8" t="s">
        <v>36</v>
      </c>
      <c r="R55" s="8" t="s">
        <v>37</v>
      </c>
      <c r="S55" s="8" t="s">
        <v>38</v>
      </c>
      <c r="T55" s="8"/>
      <c r="U55" s="8" t="s">
        <v>39</v>
      </c>
      <c r="V55" s="10">
        <v>1916.98</v>
      </c>
      <c r="W55" s="8">
        <v>826.6</v>
      </c>
      <c r="X55" s="8">
        <v>763.34</v>
      </c>
      <c r="Y55" s="8">
        <v>327.04000000000002</v>
      </c>
      <c r="Z55" s="8">
        <v>0</v>
      </c>
    </row>
    <row r="56" spans="1:26" ht="49.2" x14ac:dyDescent="0.3">
      <c r="A56" s="8" t="s">
        <v>27</v>
      </c>
      <c r="B56" s="8" t="s">
        <v>28</v>
      </c>
      <c r="C56" s="8" t="s">
        <v>29</v>
      </c>
      <c r="D56" s="8" t="s">
        <v>52</v>
      </c>
      <c r="E56" s="8" t="s">
        <v>71</v>
      </c>
      <c r="F56" s="8" t="s">
        <v>124</v>
      </c>
      <c r="G56" s="8">
        <v>2023</v>
      </c>
      <c r="H56" s="8" t="str">
        <f>CONCATENATE("34240128495")</f>
        <v>34240128495</v>
      </c>
      <c r="I56" s="8" t="s">
        <v>32</v>
      </c>
      <c r="J56" s="8" t="s">
        <v>33</v>
      </c>
      <c r="K56" s="8" t="str">
        <f t="shared" si="0"/>
        <v/>
      </c>
      <c r="L56" s="8" t="str">
        <f t="shared" ref="L56:L62" si="3">CONCATENATE("11 11.2 4b")</f>
        <v>11 11.2 4b</v>
      </c>
      <c r="M56" s="8" t="str">
        <f>CONCATENATE("SCCNDR88D23E388H")</f>
        <v>SCCNDR88D23E388H</v>
      </c>
      <c r="N56" s="8" t="s">
        <v>125</v>
      </c>
      <c r="O56" s="8" t="s">
        <v>35</v>
      </c>
      <c r="P56" s="9">
        <v>45355</v>
      </c>
      <c r="Q56" s="8" t="s">
        <v>36</v>
      </c>
      <c r="R56" s="8" t="s">
        <v>37</v>
      </c>
      <c r="S56" s="8" t="s">
        <v>38</v>
      </c>
      <c r="T56" s="8"/>
      <c r="U56" s="8" t="s">
        <v>39</v>
      </c>
      <c r="V56" s="10">
        <v>1131.01</v>
      </c>
      <c r="W56" s="8">
        <v>487.69</v>
      </c>
      <c r="X56" s="8">
        <v>450.37</v>
      </c>
      <c r="Y56" s="8">
        <v>192.95</v>
      </c>
      <c r="Z56" s="8">
        <v>0</v>
      </c>
    </row>
    <row r="57" spans="1:26" ht="30" x14ac:dyDescent="0.3">
      <c r="A57" s="8" t="s">
        <v>27</v>
      </c>
      <c r="B57" s="8" t="s">
        <v>28</v>
      </c>
      <c r="C57" s="8" t="s">
        <v>29</v>
      </c>
      <c r="D57" s="8" t="s">
        <v>52</v>
      </c>
      <c r="E57" s="8" t="s">
        <v>46</v>
      </c>
      <c r="F57" s="8" t="s">
        <v>126</v>
      </c>
      <c r="G57" s="8">
        <v>2023</v>
      </c>
      <c r="H57" s="8" t="str">
        <f>CONCATENATE("34240082031")</f>
        <v>34240082031</v>
      </c>
      <c r="I57" s="8" t="s">
        <v>32</v>
      </c>
      <c r="J57" s="8" t="s">
        <v>33</v>
      </c>
      <c r="K57" s="8" t="str">
        <f t="shared" si="0"/>
        <v/>
      </c>
      <c r="L57" s="8" t="str">
        <f t="shared" si="3"/>
        <v>11 11.2 4b</v>
      </c>
      <c r="M57" s="8" t="str">
        <f>CONCATENATE("02556970420")</f>
        <v>02556970420</v>
      </c>
      <c r="N57" s="8" t="s">
        <v>127</v>
      </c>
      <c r="O57" s="8" t="s">
        <v>35</v>
      </c>
      <c r="P57" s="9">
        <v>45355</v>
      </c>
      <c r="Q57" s="8" t="s">
        <v>36</v>
      </c>
      <c r="R57" s="8" t="s">
        <v>37</v>
      </c>
      <c r="S57" s="8" t="s">
        <v>38</v>
      </c>
      <c r="T57" s="8"/>
      <c r="U57" s="8" t="s">
        <v>39</v>
      </c>
      <c r="V57" s="8">
        <v>355.75</v>
      </c>
      <c r="W57" s="8">
        <v>153.4</v>
      </c>
      <c r="X57" s="8">
        <v>141.66</v>
      </c>
      <c r="Y57" s="8">
        <v>60.69</v>
      </c>
      <c r="Z57" s="8">
        <v>0</v>
      </c>
    </row>
    <row r="58" spans="1:26" ht="30" x14ac:dyDescent="0.3">
      <c r="A58" s="8" t="s">
        <v>27</v>
      </c>
      <c r="B58" s="8" t="s">
        <v>28</v>
      </c>
      <c r="C58" s="8" t="s">
        <v>29</v>
      </c>
      <c r="D58" s="8" t="s">
        <v>52</v>
      </c>
      <c r="E58" s="8" t="s">
        <v>46</v>
      </c>
      <c r="F58" s="8" t="s">
        <v>126</v>
      </c>
      <c r="G58" s="8">
        <v>2023</v>
      </c>
      <c r="H58" s="8" t="str">
        <f>CONCATENATE("34240085307")</f>
        <v>34240085307</v>
      </c>
      <c r="I58" s="8" t="s">
        <v>32</v>
      </c>
      <c r="J58" s="8" t="s">
        <v>33</v>
      </c>
      <c r="K58" s="8" t="str">
        <f t="shared" si="0"/>
        <v/>
      </c>
      <c r="L58" s="8" t="str">
        <f t="shared" si="3"/>
        <v>11 11.2 4b</v>
      </c>
      <c r="M58" s="8" t="str">
        <f>CONCATENATE("02556970420")</f>
        <v>02556970420</v>
      </c>
      <c r="N58" s="8" t="s">
        <v>127</v>
      </c>
      <c r="O58" s="8" t="s">
        <v>35</v>
      </c>
      <c r="P58" s="9">
        <v>45355</v>
      </c>
      <c r="Q58" s="8" t="s">
        <v>36</v>
      </c>
      <c r="R58" s="8" t="s">
        <v>37</v>
      </c>
      <c r="S58" s="8" t="s">
        <v>38</v>
      </c>
      <c r="T58" s="8"/>
      <c r="U58" s="8" t="s">
        <v>39</v>
      </c>
      <c r="V58" s="8">
        <v>673.81</v>
      </c>
      <c r="W58" s="8">
        <v>290.55</v>
      </c>
      <c r="X58" s="8">
        <v>268.31</v>
      </c>
      <c r="Y58" s="8">
        <v>114.95</v>
      </c>
      <c r="Z58" s="8">
        <v>0</v>
      </c>
    </row>
    <row r="59" spans="1:26" ht="49.2" x14ac:dyDescent="0.3">
      <c r="A59" s="8" t="s">
        <v>27</v>
      </c>
      <c r="B59" s="8" t="s">
        <v>28</v>
      </c>
      <c r="C59" s="8" t="s">
        <v>29</v>
      </c>
      <c r="D59" s="8" t="s">
        <v>41</v>
      </c>
      <c r="E59" s="8" t="s">
        <v>128</v>
      </c>
      <c r="F59" s="8" t="s">
        <v>129</v>
      </c>
      <c r="G59" s="8">
        <v>2023</v>
      </c>
      <c r="H59" s="8" t="str">
        <f>CONCATENATE("34240721745")</f>
        <v>34240721745</v>
      </c>
      <c r="I59" s="8" t="s">
        <v>32</v>
      </c>
      <c r="J59" s="8" t="s">
        <v>33</v>
      </c>
      <c r="K59" s="8" t="str">
        <f t="shared" si="0"/>
        <v/>
      </c>
      <c r="L59" s="8" t="str">
        <f t="shared" si="3"/>
        <v>11 11.2 4b</v>
      </c>
      <c r="M59" s="8" t="str">
        <f>CONCATENATE("CRBSNT97R52L500U")</f>
        <v>CRBSNT97R52L500U</v>
      </c>
      <c r="N59" s="8" t="s">
        <v>130</v>
      </c>
      <c r="O59" s="8" t="s">
        <v>35</v>
      </c>
      <c r="P59" s="9">
        <v>45355</v>
      </c>
      <c r="Q59" s="8" t="s">
        <v>36</v>
      </c>
      <c r="R59" s="8" t="s">
        <v>37</v>
      </c>
      <c r="S59" s="8" t="s">
        <v>38</v>
      </c>
      <c r="T59" s="8"/>
      <c r="U59" s="8" t="s">
        <v>39</v>
      </c>
      <c r="V59" s="10">
        <v>6568.11</v>
      </c>
      <c r="W59" s="10">
        <v>2832.17</v>
      </c>
      <c r="X59" s="10">
        <v>2615.42</v>
      </c>
      <c r="Y59" s="10">
        <v>1120.52</v>
      </c>
      <c r="Z59" s="8">
        <v>0</v>
      </c>
    </row>
    <row r="60" spans="1:26" ht="49.2" x14ac:dyDescent="0.3">
      <c r="A60" s="8" t="s">
        <v>27</v>
      </c>
      <c r="B60" s="8" t="s">
        <v>28</v>
      </c>
      <c r="C60" s="8" t="s">
        <v>29</v>
      </c>
      <c r="D60" s="8" t="s">
        <v>41</v>
      </c>
      <c r="E60" s="8" t="s">
        <v>71</v>
      </c>
      <c r="F60" s="8" t="s">
        <v>131</v>
      </c>
      <c r="G60" s="8">
        <v>2023</v>
      </c>
      <c r="H60" s="8" t="str">
        <f>CONCATENATE("34240370931")</f>
        <v>34240370931</v>
      </c>
      <c r="I60" s="8" t="s">
        <v>32</v>
      </c>
      <c r="J60" s="8" t="s">
        <v>33</v>
      </c>
      <c r="K60" s="8" t="str">
        <f t="shared" si="0"/>
        <v/>
      </c>
      <c r="L60" s="8" t="str">
        <f t="shared" si="3"/>
        <v>11 11.2 4b</v>
      </c>
      <c r="M60" s="8" t="str">
        <f>CONCATENATE("SVLNDR73S08G479M")</f>
        <v>SVLNDR73S08G479M</v>
      </c>
      <c r="N60" s="8" t="s">
        <v>132</v>
      </c>
      <c r="O60" s="8" t="s">
        <v>35</v>
      </c>
      <c r="P60" s="9">
        <v>45355</v>
      </c>
      <c r="Q60" s="8" t="s">
        <v>36</v>
      </c>
      <c r="R60" s="8" t="s">
        <v>37</v>
      </c>
      <c r="S60" s="8" t="s">
        <v>38</v>
      </c>
      <c r="T60" s="8"/>
      <c r="U60" s="8" t="s">
        <v>39</v>
      </c>
      <c r="V60" s="10">
        <v>1040.28</v>
      </c>
      <c r="W60" s="8">
        <v>448.57</v>
      </c>
      <c r="X60" s="8">
        <v>414.24</v>
      </c>
      <c r="Y60" s="8">
        <v>177.47</v>
      </c>
      <c r="Z60" s="8">
        <v>0</v>
      </c>
    </row>
    <row r="61" spans="1:26" ht="49.2" x14ac:dyDescent="0.3">
      <c r="A61" s="8" t="s">
        <v>27</v>
      </c>
      <c r="B61" s="8" t="s">
        <v>28</v>
      </c>
      <c r="C61" s="8" t="s">
        <v>29</v>
      </c>
      <c r="D61" s="8" t="s">
        <v>30</v>
      </c>
      <c r="E61" s="8" t="s">
        <v>46</v>
      </c>
      <c r="F61" s="8" t="s">
        <v>133</v>
      </c>
      <c r="G61" s="8">
        <v>2023</v>
      </c>
      <c r="H61" s="8" t="str">
        <f>CONCATENATE("34240439066")</f>
        <v>34240439066</v>
      </c>
      <c r="I61" s="8" t="s">
        <v>32</v>
      </c>
      <c r="J61" s="8" t="s">
        <v>33</v>
      </c>
      <c r="K61" s="8" t="str">
        <f t="shared" si="0"/>
        <v/>
      </c>
      <c r="L61" s="8" t="str">
        <f t="shared" si="3"/>
        <v>11 11.2 4b</v>
      </c>
      <c r="M61" s="8" t="str">
        <f>CONCATENATE("STRLGU61E31E807X")</f>
        <v>STRLGU61E31E807X</v>
      </c>
      <c r="N61" s="8" t="s">
        <v>134</v>
      </c>
      <c r="O61" s="8" t="s">
        <v>35</v>
      </c>
      <c r="P61" s="9">
        <v>45355</v>
      </c>
      <c r="Q61" s="8" t="s">
        <v>36</v>
      </c>
      <c r="R61" s="8" t="s">
        <v>37</v>
      </c>
      <c r="S61" s="8" t="s">
        <v>38</v>
      </c>
      <c r="T61" s="8"/>
      <c r="U61" s="8" t="s">
        <v>39</v>
      </c>
      <c r="V61" s="8">
        <v>406.45</v>
      </c>
      <c r="W61" s="8">
        <v>175.26</v>
      </c>
      <c r="X61" s="8">
        <v>161.85</v>
      </c>
      <c r="Y61" s="8">
        <v>69.34</v>
      </c>
      <c r="Z61" s="8">
        <v>0</v>
      </c>
    </row>
    <row r="62" spans="1:26" ht="49.2" x14ac:dyDescent="0.3">
      <c r="A62" s="8" t="s">
        <v>27</v>
      </c>
      <c r="B62" s="8" t="s">
        <v>28</v>
      </c>
      <c r="C62" s="8" t="s">
        <v>29</v>
      </c>
      <c r="D62" s="8" t="s">
        <v>30</v>
      </c>
      <c r="E62" s="8" t="s">
        <v>135</v>
      </c>
      <c r="F62" s="8" t="s">
        <v>136</v>
      </c>
      <c r="G62" s="8">
        <v>2023</v>
      </c>
      <c r="H62" s="8" t="str">
        <f>CONCATENATE("34240660661")</f>
        <v>34240660661</v>
      </c>
      <c r="I62" s="8" t="s">
        <v>32</v>
      </c>
      <c r="J62" s="8" t="s">
        <v>33</v>
      </c>
      <c r="K62" s="8" t="str">
        <f t="shared" si="0"/>
        <v/>
      </c>
      <c r="L62" s="8" t="str">
        <f t="shared" si="3"/>
        <v>11 11.2 4b</v>
      </c>
      <c r="M62" s="8" t="str">
        <f>CONCATENATE("CPCSMN71L23H769A")</f>
        <v>CPCSMN71L23H769A</v>
      </c>
      <c r="N62" s="8" t="s">
        <v>137</v>
      </c>
      <c r="O62" s="8" t="s">
        <v>35</v>
      </c>
      <c r="P62" s="9">
        <v>45355</v>
      </c>
      <c r="Q62" s="8" t="s">
        <v>36</v>
      </c>
      <c r="R62" s="8" t="s">
        <v>37</v>
      </c>
      <c r="S62" s="8" t="s">
        <v>38</v>
      </c>
      <c r="T62" s="8"/>
      <c r="U62" s="8" t="s">
        <v>39</v>
      </c>
      <c r="V62" s="10">
        <v>2427.23</v>
      </c>
      <c r="W62" s="10">
        <v>1046.6199999999999</v>
      </c>
      <c r="X62" s="8">
        <v>966.52</v>
      </c>
      <c r="Y62" s="8">
        <v>414.09</v>
      </c>
      <c r="Z62" s="8">
        <v>0</v>
      </c>
    </row>
    <row r="63" spans="1:26" ht="49.2" x14ac:dyDescent="0.3">
      <c r="A63" s="8" t="s">
        <v>27</v>
      </c>
      <c r="B63" s="8" t="s">
        <v>28</v>
      </c>
      <c r="C63" s="8" t="s">
        <v>29</v>
      </c>
      <c r="D63" s="8" t="s">
        <v>41</v>
      </c>
      <c r="E63" s="8" t="s">
        <v>46</v>
      </c>
      <c r="F63" s="8" t="s">
        <v>92</v>
      </c>
      <c r="G63" s="8">
        <v>2023</v>
      </c>
      <c r="H63" s="8" t="str">
        <f>CONCATENATE("34210073366")</f>
        <v>34210073366</v>
      </c>
      <c r="I63" s="8" t="s">
        <v>32</v>
      </c>
      <c r="J63" s="8" t="s">
        <v>33</v>
      </c>
      <c r="K63" s="8" t="str">
        <f t="shared" si="0"/>
        <v/>
      </c>
      <c r="L63" s="8" t="str">
        <f>CONCATENATE("13 13.1 4a")</f>
        <v>13 13.1 4a</v>
      </c>
      <c r="M63" s="8" t="str">
        <f>CONCATENATE("CNCGFR65A25D541L")</f>
        <v>CNCGFR65A25D541L</v>
      </c>
      <c r="N63" s="8" t="s">
        <v>138</v>
      </c>
      <c r="O63" s="8" t="s">
        <v>49</v>
      </c>
      <c r="P63" s="9">
        <v>45355</v>
      </c>
      <c r="Q63" s="8" t="s">
        <v>36</v>
      </c>
      <c r="R63" s="8" t="s">
        <v>37</v>
      </c>
      <c r="S63" s="8" t="s">
        <v>38</v>
      </c>
      <c r="T63" s="8"/>
      <c r="U63" s="8" t="s">
        <v>39</v>
      </c>
      <c r="V63" s="10">
        <v>3679.45</v>
      </c>
      <c r="W63" s="10">
        <v>1586.58</v>
      </c>
      <c r="X63" s="10">
        <v>1465.16</v>
      </c>
      <c r="Y63" s="8">
        <v>627.71</v>
      </c>
      <c r="Z63" s="8">
        <v>0</v>
      </c>
    </row>
    <row r="64" spans="1:26" ht="49.2" x14ac:dyDescent="0.3">
      <c r="A64" s="8" t="s">
        <v>27</v>
      </c>
      <c r="B64" s="8" t="s">
        <v>28</v>
      </c>
      <c r="C64" s="8" t="s">
        <v>29</v>
      </c>
      <c r="D64" s="8" t="s">
        <v>45</v>
      </c>
      <c r="E64" s="8" t="s">
        <v>46</v>
      </c>
      <c r="F64" s="8" t="s">
        <v>47</v>
      </c>
      <c r="G64" s="8">
        <v>2023</v>
      </c>
      <c r="H64" s="8" t="str">
        <f>CONCATENATE("34210030648")</f>
        <v>34210030648</v>
      </c>
      <c r="I64" s="8" t="s">
        <v>32</v>
      </c>
      <c r="J64" s="8" t="s">
        <v>33</v>
      </c>
      <c r="K64" s="8" t="str">
        <f t="shared" si="0"/>
        <v/>
      </c>
      <c r="L64" s="8" t="str">
        <f t="shared" ref="L64:L76" si="4">CONCATENATE("13 13.1 4a")</f>
        <v>13 13.1 4a</v>
      </c>
      <c r="M64" s="8" t="str">
        <f>CONCATENATE("PRZSDR67E02B474R")</f>
        <v>PRZSDR67E02B474R</v>
      </c>
      <c r="N64" s="8" t="s">
        <v>139</v>
      </c>
      <c r="O64" s="8" t="s">
        <v>49</v>
      </c>
      <c r="P64" s="9">
        <v>45355</v>
      </c>
      <c r="Q64" s="8" t="s">
        <v>36</v>
      </c>
      <c r="R64" s="8" t="s">
        <v>37</v>
      </c>
      <c r="S64" s="8" t="s">
        <v>38</v>
      </c>
      <c r="T64" s="8"/>
      <c r="U64" s="8" t="s">
        <v>39</v>
      </c>
      <c r="V64" s="10">
        <v>1334.53</v>
      </c>
      <c r="W64" s="8">
        <v>575.45000000000005</v>
      </c>
      <c r="X64" s="8">
        <v>531.41</v>
      </c>
      <c r="Y64" s="8">
        <v>227.67</v>
      </c>
      <c r="Z64" s="8">
        <v>0</v>
      </c>
    </row>
    <row r="65" spans="1:26" ht="49.2" x14ac:dyDescent="0.3">
      <c r="A65" s="8" t="s">
        <v>27</v>
      </c>
      <c r="B65" s="8" t="s">
        <v>28</v>
      </c>
      <c r="C65" s="8" t="s">
        <v>29</v>
      </c>
      <c r="D65" s="8" t="s">
        <v>41</v>
      </c>
      <c r="E65" s="8" t="s">
        <v>46</v>
      </c>
      <c r="F65" s="8" t="s">
        <v>140</v>
      </c>
      <c r="G65" s="8">
        <v>2023</v>
      </c>
      <c r="H65" s="8" t="str">
        <f>CONCATENATE("34210000609")</f>
        <v>34210000609</v>
      </c>
      <c r="I65" s="8" t="s">
        <v>32</v>
      </c>
      <c r="J65" s="8" t="s">
        <v>33</v>
      </c>
      <c r="K65" s="8" t="str">
        <f t="shared" si="0"/>
        <v/>
      </c>
      <c r="L65" s="8" t="str">
        <f t="shared" si="4"/>
        <v>13 13.1 4a</v>
      </c>
      <c r="M65" s="8" t="str">
        <f>CONCATENATE("FRNDNC43T03E785U")</f>
        <v>FRNDNC43T03E785U</v>
      </c>
      <c r="N65" s="8" t="s">
        <v>141</v>
      </c>
      <c r="O65" s="8" t="s">
        <v>49</v>
      </c>
      <c r="P65" s="9">
        <v>45355</v>
      </c>
      <c r="Q65" s="8" t="s">
        <v>36</v>
      </c>
      <c r="R65" s="8" t="s">
        <v>37</v>
      </c>
      <c r="S65" s="8" t="s">
        <v>38</v>
      </c>
      <c r="T65" s="8"/>
      <c r="U65" s="8" t="s">
        <v>39</v>
      </c>
      <c r="V65" s="10">
        <v>1317.6</v>
      </c>
      <c r="W65" s="8">
        <v>568.15</v>
      </c>
      <c r="X65" s="8">
        <v>524.66999999999996</v>
      </c>
      <c r="Y65" s="8">
        <v>224.78</v>
      </c>
      <c r="Z65" s="8">
        <v>0</v>
      </c>
    </row>
    <row r="66" spans="1:26" ht="58.8" x14ac:dyDescent="0.3">
      <c r="A66" s="8" t="s">
        <v>27</v>
      </c>
      <c r="B66" s="8" t="s">
        <v>28</v>
      </c>
      <c r="C66" s="8" t="s">
        <v>29</v>
      </c>
      <c r="D66" s="8" t="s">
        <v>41</v>
      </c>
      <c r="E66" s="8" t="s">
        <v>71</v>
      </c>
      <c r="F66" s="8" t="s">
        <v>142</v>
      </c>
      <c r="G66" s="8">
        <v>2023</v>
      </c>
      <c r="H66" s="8" t="str">
        <f>CONCATENATE("34210049622")</f>
        <v>34210049622</v>
      </c>
      <c r="I66" s="8" t="s">
        <v>32</v>
      </c>
      <c r="J66" s="8" t="s">
        <v>33</v>
      </c>
      <c r="K66" s="8" t="str">
        <f t="shared" si="0"/>
        <v/>
      </c>
      <c r="L66" s="8" t="str">
        <f t="shared" si="4"/>
        <v>13 13.1 4a</v>
      </c>
      <c r="M66" s="8" t="str">
        <f>CONCATENATE("MRCMSM67L14D836W")</f>
        <v>MRCMSM67L14D836W</v>
      </c>
      <c r="N66" s="8" t="s">
        <v>143</v>
      </c>
      <c r="O66" s="8" t="s">
        <v>49</v>
      </c>
      <c r="P66" s="9">
        <v>45355</v>
      </c>
      <c r="Q66" s="8" t="s">
        <v>36</v>
      </c>
      <c r="R66" s="8" t="s">
        <v>37</v>
      </c>
      <c r="S66" s="8" t="s">
        <v>38</v>
      </c>
      <c r="T66" s="8"/>
      <c r="U66" s="8" t="s">
        <v>39</v>
      </c>
      <c r="V66" s="8">
        <v>623.38</v>
      </c>
      <c r="W66" s="8">
        <v>268.8</v>
      </c>
      <c r="X66" s="8">
        <v>248.23</v>
      </c>
      <c r="Y66" s="8">
        <v>106.35</v>
      </c>
      <c r="Z66" s="8">
        <v>0</v>
      </c>
    </row>
    <row r="67" spans="1:26" ht="49.2" x14ac:dyDescent="0.3">
      <c r="A67" s="8" t="s">
        <v>27</v>
      </c>
      <c r="B67" s="8" t="s">
        <v>28</v>
      </c>
      <c r="C67" s="8" t="s">
        <v>29</v>
      </c>
      <c r="D67" s="8" t="s">
        <v>45</v>
      </c>
      <c r="E67" s="8" t="s">
        <v>46</v>
      </c>
      <c r="F67" s="8" t="s">
        <v>50</v>
      </c>
      <c r="G67" s="8">
        <v>2023</v>
      </c>
      <c r="H67" s="8" t="str">
        <f>CONCATENATE("34210076518")</f>
        <v>34210076518</v>
      </c>
      <c r="I67" s="8" t="s">
        <v>32</v>
      </c>
      <c r="J67" s="8" t="s">
        <v>33</v>
      </c>
      <c r="K67" s="8" t="str">
        <f t="shared" si="0"/>
        <v/>
      </c>
      <c r="L67" s="8" t="str">
        <f t="shared" si="4"/>
        <v>13 13.1 4a</v>
      </c>
      <c r="M67" s="8" t="str">
        <f>CONCATENATE("CRDMFR40C59I436Q")</f>
        <v>CRDMFR40C59I436Q</v>
      </c>
      <c r="N67" s="8" t="s">
        <v>144</v>
      </c>
      <c r="O67" s="8" t="s">
        <v>49</v>
      </c>
      <c r="P67" s="9">
        <v>45355</v>
      </c>
      <c r="Q67" s="8" t="s">
        <v>36</v>
      </c>
      <c r="R67" s="8" t="s">
        <v>37</v>
      </c>
      <c r="S67" s="8" t="s">
        <v>38</v>
      </c>
      <c r="T67" s="8"/>
      <c r="U67" s="8" t="s">
        <v>39</v>
      </c>
      <c r="V67" s="10">
        <v>1437.7</v>
      </c>
      <c r="W67" s="8">
        <v>619.94000000000005</v>
      </c>
      <c r="X67" s="8">
        <v>572.49</v>
      </c>
      <c r="Y67" s="8">
        <v>245.27</v>
      </c>
      <c r="Z67" s="8">
        <v>0</v>
      </c>
    </row>
    <row r="68" spans="1:26" ht="30" x14ac:dyDescent="0.3">
      <c r="A68" s="8" t="s">
        <v>27</v>
      </c>
      <c r="B68" s="8" t="s">
        <v>28</v>
      </c>
      <c r="C68" s="8" t="s">
        <v>29</v>
      </c>
      <c r="D68" s="8" t="s">
        <v>30</v>
      </c>
      <c r="E68" s="8" t="s">
        <v>46</v>
      </c>
      <c r="F68" s="8" t="s">
        <v>104</v>
      </c>
      <c r="G68" s="8">
        <v>2023</v>
      </c>
      <c r="H68" s="8" t="str">
        <f>CONCATENATE("34210059613")</f>
        <v>34210059613</v>
      </c>
      <c r="I68" s="8" t="s">
        <v>32</v>
      </c>
      <c r="J68" s="8" t="s">
        <v>33</v>
      </c>
      <c r="K68" s="8" t="str">
        <f t="shared" ref="K68:K131" si="5">CONCATENATE("")</f>
        <v/>
      </c>
      <c r="L68" s="8" t="str">
        <f t="shared" si="4"/>
        <v>13 13.1 4a</v>
      </c>
      <c r="M68" s="8" t="str">
        <f>CONCATENATE("01124420447")</f>
        <v>01124420447</v>
      </c>
      <c r="N68" s="8" t="s">
        <v>145</v>
      </c>
      <c r="O68" s="8" t="s">
        <v>49</v>
      </c>
      <c r="P68" s="9">
        <v>45355</v>
      </c>
      <c r="Q68" s="8" t="s">
        <v>36</v>
      </c>
      <c r="R68" s="8" t="s">
        <v>37</v>
      </c>
      <c r="S68" s="8" t="s">
        <v>38</v>
      </c>
      <c r="T68" s="8"/>
      <c r="U68" s="8" t="s">
        <v>39</v>
      </c>
      <c r="V68" s="10">
        <v>4859.25</v>
      </c>
      <c r="W68" s="10">
        <v>2095.31</v>
      </c>
      <c r="X68" s="10">
        <v>1934.95</v>
      </c>
      <c r="Y68" s="8">
        <v>828.99</v>
      </c>
      <c r="Z68" s="8">
        <v>0</v>
      </c>
    </row>
    <row r="69" spans="1:26" ht="30" x14ac:dyDescent="0.3">
      <c r="A69" s="8" t="s">
        <v>27</v>
      </c>
      <c r="B69" s="8" t="s">
        <v>28</v>
      </c>
      <c r="C69" s="8" t="s">
        <v>29</v>
      </c>
      <c r="D69" s="8" t="s">
        <v>30</v>
      </c>
      <c r="E69" s="8" t="s">
        <v>46</v>
      </c>
      <c r="F69" s="8" t="s">
        <v>104</v>
      </c>
      <c r="G69" s="8">
        <v>2023</v>
      </c>
      <c r="H69" s="8" t="str">
        <f>CONCATENATE("34210074703")</f>
        <v>34210074703</v>
      </c>
      <c r="I69" s="8" t="s">
        <v>32</v>
      </c>
      <c r="J69" s="8" t="s">
        <v>33</v>
      </c>
      <c r="K69" s="8" t="str">
        <f t="shared" si="5"/>
        <v/>
      </c>
      <c r="L69" s="8" t="str">
        <f t="shared" si="4"/>
        <v>13 13.1 4a</v>
      </c>
      <c r="M69" s="8" t="str">
        <f>CONCATENATE("01411730441")</f>
        <v>01411730441</v>
      </c>
      <c r="N69" s="8" t="s">
        <v>146</v>
      </c>
      <c r="O69" s="8" t="s">
        <v>49</v>
      </c>
      <c r="P69" s="9">
        <v>45355</v>
      </c>
      <c r="Q69" s="8" t="s">
        <v>36</v>
      </c>
      <c r="R69" s="8" t="s">
        <v>37</v>
      </c>
      <c r="S69" s="8" t="s">
        <v>38</v>
      </c>
      <c r="T69" s="8"/>
      <c r="U69" s="8" t="s">
        <v>39</v>
      </c>
      <c r="V69" s="10">
        <v>6383.15</v>
      </c>
      <c r="W69" s="10">
        <v>2752.41</v>
      </c>
      <c r="X69" s="10">
        <v>2541.77</v>
      </c>
      <c r="Y69" s="10">
        <v>1088.97</v>
      </c>
      <c r="Z69" s="8">
        <v>0</v>
      </c>
    </row>
    <row r="70" spans="1:26" ht="49.2" x14ac:dyDescent="0.3">
      <c r="A70" s="8" t="s">
        <v>27</v>
      </c>
      <c r="B70" s="8" t="s">
        <v>28</v>
      </c>
      <c r="C70" s="8" t="s">
        <v>29</v>
      </c>
      <c r="D70" s="8" t="s">
        <v>30</v>
      </c>
      <c r="E70" s="8" t="s">
        <v>46</v>
      </c>
      <c r="F70" s="8" t="s">
        <v>104</v>
      </c>
      <c r="G70" s="8">
        <v>2023</v>
      </c>
      <c r="H70" s="8" t="str">
        <f>CONCATENATE("34210013669")</f>
        <v>34210013669</v>
      </c>
      <c r="I70" s="8" t="s">
        <v>32</v>
      </c>
      <c r="J70" s="8" t="s">
        <v>33</v>
      </c>
      <c r="K70" s="8" t="str">
        <f t="shared" si="5"/>
        <v/>
      </c>
      <c r="L70" s="8" t="str">
        <f t="shared" si="4"/>
        <v>13 13.1 4a</v>
      </c>
      <c r="M70" s="8" t="str">
        <f>CONCATENATE("GHMMRL68S49Z129X")</f>
        <v>GHMMRL68S49Z129X</v>
      </c>
      <c r="N70" s="8" t="s">
        <v>147</v>
      </c>
      <c r="O70" s="8" t="s">
        <v>49</v>
      </c>
      <c r="P70" s="9">
        <v>45355</v>
      </c>
      <c r="Q70" s="8" t="s">
        <v>36</v>
      </c>
      <c r="R70" s="8" t="s">
        <v>37</v>
      </c>
      <c r="S70" s="8" t="s">
        <v>38</v>
      </c>
      <c r="T70" s="8"/>
      <c r="U70" s="8" t="s">
        <v>39</v>
      </c>
      <c r="V70" s="8">
        <v>310.38</v>
      </c>
      <c r="W70" s="8">
        <v>133.84</v>
      </c>
      <c r="X70" s="8">
        <v>123.59</v>
      </c>
      <c r="Y70" s="8">
        <v>52.95</v>
      </c>
      <c r="Z70" s="8">
        <v>0</v>
      </c>
    </row>
    <row r="71" spans="1:26" ht="49.2" x14ac:dyDescent="0.3">
      <c r="A71" s="8" t="s">
        <v>27</v>
      </c>
      <c r="B71" s="8" t="s">
        <v>28</v>
      </c>
      <c r="C71" s="8" t="s">
        <v>29</v>
      </c>
      <c r="D71" s="8" t="s">
        <v>45</v>
      </c>
      <c r="E71" s="8" t="s">
        <v>46</v>
      </c>
      <c r="F71" s="8" t="s">
        <v>47</v>
      </c>
      <c r="G71" s="8">
        <v>2023</v>
      </c>
      <c r="H71" s="8" t="str">
        <f>CONCATENATE("34210092010")</f>
        <v>34210092010</v>
      </c>
      <c r="I71" s="8" t="s">
        <v>32</v>
      </c>
      <c r="J71" s="8" t="s">
        <v>33</v>
      </c>
      <c r="K71" s="8" t="str">
        <f t="shared" si="5"/>
        <v/>
      </c>
      <c r="L71" s="8" t="str">
        <f t="shared" si="4"/>
        <v>13 13.1 4a</v>
      </c>
      <c r="M71" s="8" t="str">
        <f>CONCATENATE("BSBMRA50H04B474Z")</f>
        <v>BSBMRA50H04B474Z</v>
      </c>
      <c r="N71" s="8" t="s">
        <v>148</v>
      </c>
      <c r="O71" s="8" t="s">
        <v>49</v>
      </c>
      <c r="P71" s="9">
        <v>45355</v>
      </c>
      <c r="Q71" s="8" t="s">
        <v>36</v>
      </c>
      <c r="R71" s="8" t="s">
        <v>37</v>
      </c>
      <c r="S71" s="8" t="s">
        <v>38</v>
      </c>
      <c r="T71" s="8"/>
      <c r="U71" s="8" t="s">
        <v>39</v>
      </c>
      <c r="V71" s="10">
        <v>6735.1</v>
      </c>
      <c r="W71" s="10">
        <v>2904.18</v>
      </c>
      <c r="X71" s="10">
        <v>2681.92</v>
      </c>
      <c r="Y71" s="10">
        <v>1149</v>
      </c>
      <c r="Z71" s="8">
        <v>0</v>
      </c>
    </row>
    <row r="72" spans="1:26" ht="30" x14ac:dyDescent="0.3">
      <c r="A72" s="8" t="s">
        <v>27</v>
      </c>
      <c r="B72" s="8" t="s">
        <v>28</v>
      </c>
      <c r="C72" s="8" t="s">
        <v>29</v>
      </c>
      <c r="D72" s="8" t="s">
        <v>45</v>
      </c>
      <c r="E72" s="8" t="s">
        <v>46</v>
      </c>
      <c r="F72" s="8" t="s">
        <v>47</v>
      </c>
      <c r="G72" s="8">
        <v>2023</v>
      </c>
      <c r="H72" s="8" t="str">
        <f>CONCATENATE("34210024518")</f>
        <v>34210024518</v>
      </c>
      <c r="I72" s="8" t="s">
        <v>32</v>
      </c>
      <c r="J72" s="8" t="s">
        <v>33</v>
      </c>
      <c r="K72" s="8" t="str">
        <f t="shared" si="5"/>
        <v/>
      </c>
      <c r="L72" s="8" t="str">
        <f t="shared" si="4"/>
        <v>13 13.1 4a</v>
      </c>
      <c r="M72" s="8" t="str">
        <f>CONCATENATE("01945810438")</f>
        <v>01945810438</v>
      </c>
      <c r="N72" s="8" t="s">
        <v>149</v>
      </c>
      <c r="O72" s="8" t="s">
        <v>49</v>
      </c>
      <c r="P72" s="9">
        <v>45355</v>
      </c>
      <c r="Q72" s="8" t="s">
        <v>36</v>
      </c>
      <c r="R72" s="8" t="s">
        <v>37</v>
      </c>
      <c r="S72" s="8" t="s">
        <v>38</v>
      </c>
      <c r="T72" s="8"/>
      <c r="U72" s="8" t="s">
        <v>39</v>
      </c>
      <c r="V72" s="8">
        <v>284.58999999999997</v>
      </c>
      <c r="W72" s="8">
        <v>122.72</v>
      </c>
      <c r="X72" s="8">
        <v>113.32</v>
      </c>
      <c r="Y72" s="8">
        <v>48.55</v>
      </c>
      <c r="Z72" s="8">
        <v>0</v>
      </c>
    </row>
    <row r="73" spans="1:26" ht="49.2" x14ac:dyDescent="0.3">
      <c r="A73" s="8" t="s">
        <v>27</v>
      </c>
      <c r="B73" s="8" t="s">
        <v>28</v>
      </c>
      <c r="C73" s="8" t="s">
        <v>29</v>
      </c>
      <c r="D73" s="8" t="s">
        <v>45</v>
      </c>
      <c r="E73" s="8" t="s">
        <v>46</v>
      </c>
      <c r="F73" s="8" t="s">
        <v>47</v>
      </c>
      <c r="G73" s="8">
        <v>2023</v>
      </c>
      <c r="H73" s="8" t="str">
        <f>CONCATENATE("34210017009")</f>
        <v>34210017009</v>
      </c>
      <c r="I73" s="8" t="s">
        <v>32</v>
      </c>
      <c r="J73" s="8" t="s">
        <v>33</v>
      </c>
      <c r="K73" s="8" t="str">
        <f t="shared" si="5"/>
        <v/>
      </c>
      <c r="L73" s="8" t="str">
        <f t="shared" si="4"/>
        <v>13 13.1 4a</v>
      </c>
      <c r="M73" s="8" t="str">
        <f>CONCATENATE("SLVLCU75E25B474L")</f>
        <v>SLVLCU75E25B474L</v>
      </c>
      <c r="N73" s="8" t="s">
        <v>150</v>
      </c>
      <c r="O73" s="8" t="s">
        <v>49</v>
      </c>
      <c r="P73" s="9">
        <v>45355</v>
      </c>
      <c r="Q73" s="8" t="s">
        <v>36</v>
      </c>
      <c r="R73" s="8" t="s">
        <v>37</v>
      </c>
      <c r="S73" s="8" t="s">
        <v>38</v>
      </c>
      <c r="T73" s="8"/>
      <c r="U73" s="8" t="s">
        <v>39</v>
      </c>
      <c r="V73" s="10">
        <v>5122.28</v>
      </c>
      <c r="W73" s="10">
        <v>2208.73</v>
      </c>
      <c r="X73" s="10">
        <v>2039.69</v>
      </c>
      <c r="Y73" s="8">
        <v>873.86</v>
      </c>
      <c r="Z73" s="8">
        <v>0</v>
      </c>
    </row>
    <row r="74" spans="1:26" ht="30" x14ac:dyDescent="0.3">
      <c r="A74" s="8" t="s">
        <v>27</v>
      </c>
      <c r="B74" s="8" t="s">
        <v>28</v>
      </c>
      <c r="C74" s="8" t="s">
        <v>29</v>
      </c>
      <c r="D74" s="8" t="s">
        <v>52</v>
      </c>
      <c r="E74" s="8" t="s">
        <v>57</v>
      </c>
      <c r="F74" s="8" t="s">
        <v>65</v>
      </c>
      <c r="G74" s="8">
        <v>2023</v>
      </c>
      <c r="H74" s="8" t="str">
        <f>CONCATENATE("34210084553")</f>
        <v>34210084553</v>
      </c>
      <c r="I74" s="8" t="s">
        <v>32</v>
      </c>
      <c r="J74" s="8" t="s">
        <v>33</v>
      </c>
      <c r="K74" s="8" t="str">
        <f t="shared" si="5"/>
        <v/>
      </c>
      <c r="L74" s="8" t="str">
        <f t="shared" si="4"/>
        <v>13 13.1 4a</v>
      </c>
      <c r="M74" s="8" t="str">
        <f>CONCATENATE("01580170429")</f>
        <v>01580170429</v>
      </c>
      <c r="N74" s="8" t="s">
        <v>151</v>
      </c>
      <c r="O74" s="8" t="s">
        <v>49</v>
      </c>
      <c r="P74" s="9">
        <v>45355</v>
      </c>
      <c r="Q74" s="8" t="s">
        <v>36</v>
      </c>
      <c r="R74" s="8" t="s">
        <v>37</v>
      </c>
      <c r="S74" s="8" t="s">
        <v>38</v>
      </c>
      <c r="T74" s="8"/>
      <c r="U74" s="8" t="s">
        <v>39</v>
      </c>
      <c r="V74" s="8">
        <v>964.2</v>
      </c>
      <c r="W74" s="8">
        <v>415.76</v>
      </c>
      <c r="X74" s="8">
        <v>383.94</v>
      </c>
      <c r="Y74" s="8">
        <v>164.5</v>
      </c>
      <c r="Z74" s="8">
        <v>0</v>
      </c>
    </row>
    <row r="75" spans="1:26" ht="58.8" x14ac:dyDescent="0.3">
      <c r="A75" s="8" t="s">
        <v>27</v>
      </c>
      <c r="B75" s="8" t="s">
        <v>28</v>
      </c>
      <c r="C75" s="8" t="s">
        <v>29</v>
      </c>
      <c r="D75" s="8" t="s">
        <v>52</v>
      </c>
      <c r="E75" s="8" t="s">
        <v>71</v>
      </c>
      <c r="F75" s="8" t="s">
        <v>95</v>
      </c>
      <c r="G75" s="8">
        <v>2023</v>
      </c>
      <c r="H75" s="8" t="str">
        <f>CONCATENATE("34210023205")</f>
        <v>34210023205</v>
      </c>
      <c r="I75" s="8" t="s">
        <v>32</v>
      </c>
      <c r="J75" s="8" t="s">
        <v>33</v>
      </c>
      <c r="K75" s="8" t="str">
        <f t="shared" si="5"/>
        <v/>
      </c>
      <c r="L75" s="8" t="str">
        <f t="shared" si="4"/>
        <v>13 13.1 4a</v>
      </c>
      <c r="M75" s="8" t="str">
        <f>CONCATENATE("GMBCLD82L53D451M")</f>
        <v>GMBCLD82L53D451M</v>
      </c>
      <c r="N75" s="8" t="s">
        <v>152</v>
      </c>
      <c r="O75" s="8" t="s">
        <v>49</v>
      </c>
      <c r="P75" s="9">
        <v>45355</v>
      </c>
      <c r="Q75" s="8" t="s">
        <v>36</v>
      </c>
      <c r="R75" s="8" t="s">
        <v>37</v>
      </c>
      <c r="S75" s="8" t="s">
        <v>38</v>
      </c>
      <c r="T75" s="8"/>
      <c r="U75" s="8" t="s">
        <v>39</v>
      </c>
      <c r="V75" s="10">
        <v>1723.53</v>
      </c>
      <c r="W75" s="8">
        <v>743.19</v>
      </c>
      <c r="X75" s="8">
        <v>686.31</v>
      </c>
      <c r="Y75" s="8">
        <v>294.02999999999997</v>
      </c>
      <c r="Z75" s="8">
        <v>0</v>
      </c>
    </row>
    <row r="76" spans="1:26" ht="49.2" x14ac:dyDescent="0.3">
      <c r="A76" s="8" t="s">
        <v>27</v>
      </c>
      <c r="B76" s="8" t="s">
        <v>28</v>
      </c>
      <c r="C76" s="8" t="s">
        <v>29</v>
      </c>
      <c r="D76" s="8" t="s">
        <v>45</v>
      </c>
      <c r="E76" s="8" t="s">
        <v>46</v>
      </c>
      <c r="F76" s="8" t="s">
        <v>47</v>
      </c>
      <c r="G76" s="8">
        <v>2023</v>
      </c>
      <c r="H76" s="8" t="str">
        <f>CONCATENATE("34210051099")</f>
        <v>34210051099</v>
      </c>
      <c r="I76" s="8" t="s">
        <v>32</v>
      </c>
      <c r="J76" s="8" t="s">
        <v>33</v>
      </c>
      <c r="K76" s="8" t="str">
        <f t="shared" si="5"/>
        <v/>
      </c>
      <c r="L76" s="8" t="str">
        <f t="shared" si="4"/>
        <v>13 13.1 4a</v>
      </c>
      <c r="M76" s="8" t="str">
        <f>CONCATENATE("CRSRND69S02D429U")</f>
        <v>CRSRND69S02D429U</v>
      </c>
      <c r="N76" s="8" t="s">
        <v>153</v>
      </c>
      <c r="O76" s="8" t="s">
        <v>49</v>
      </c>
      <c r="P76" s="9">
        <v>45355</v>
      </c>
      <c r="Q76" s="8" t="s">
        <v>36</v>
      </c>
      <c r="R76" s="8" t="s">
        <v>37</v>
      </c>
      <c r="S76" s="8" t="s">
        <v>38</v>
      </c>
      <c r="T76" s="8"/>
      <c r="U76" s="8" t="s">
        <v>39</v>
      </c>
      <c r="V76" s="8">
        <v>107.44</v>
      </c>
      <c r="W76" s="8">
        <v>46.33</v>
      </c>
      <c r="X76" s="8">
        <v>42.78</v>
      </c>
      <c r="Y76" s="8">
        <v>18.329999999999998</v>
      </c>
      <c r="Z76" s="8">
        <v>0</v>
      </c>
    </row>
    <row r="77" spans="1:26" ht="30" x14ac:dyDescent="0.3">
      <c r="A77" s="8" t="s">
        <v>27</v>
      </c>
      <c r="B77" s="8" t="s">
        <v>28</v>
      </c>
      <c r="C77" s="8" t="s">
        <v>29</v>
      </c>
      <c r="D77" s="8" t="s">
        <v>52</v>
      </c>
      <c r="E77" s="8" t="s">
        <v>42</v>
      </c>
      <c r="F77" s="8" t="s">
        <v>74</v>
      </c>
      <c r="G77" s="8">
        <v>2023</v>
      </c>
      <c r="H77" s="8" t="str">
        <f>CONCATENATE("34240298132")</f>
        <v>34240298132</v>
      </c>
      <c r="I77" s="8" t="s">
        <v>32</v>
      </c>
      <c r="J77" s="8" t="s">
        <v>33</v>
      </c>
      <c r="K77" s="8" t="str">
        <f t="shared" si="5"/>
        <v/>
      </c>
      <c r="L77" s="8" t="str">
        <f>CONCATENATE("11 11.2 4b")</f>
        <v>11 11.2 4b</v>
      </c>
      <c r="M77" s="8" t="str">
        <f>CONCATENATE("02600250423")</f>
        <v>02600250423</v>
      </c>
      <c r="N77" s="8" t="s">
        <v>154</v>
      </c>
      <c r="O77" s="8" t="s">
        <v>35</v>
      </c>
      <c r="P77" s="9">
        <v>45355</v>
      </c>
      <c r="Q77" s="8" t="s">
        <v>36</v>
      </c>
      <c r="R77" s="8" t="s">
        <v>37</v>
      </c>
      <c r="S77" s="8" t="s">
        <v>38</v>
      </c>
      <c r="T77" s="8"/>
      <c r="U77" s="8" t="s">
        <v>39</v>
      </c>
      <c r="V77" s="8">
        <v>298.36</v>
      </c>
      <c r="W77" s="8">
        <v>128.65</v>
      </c>
      <c r="X77" s="8">
        <v>118.81</v>
      </c>
      <c r="Y77" s="8">
        <v>50.9</v>
      </c>
      <c r="Z77" s="8">
        <v>0</v>
      </c>
    </row>
    <row r="78" spans="1:26" ht="30" x14ac:dyDescent="0.3">
      <c r="A78" s="8" t="s">
        <v>27</v>
      </c>
      <c r="B78" s="8" t="s">
        <v>28</v>
      </c>
      <c r="C78" s="8" t="s">
        <v>29</v>
      </c>
      <c r="D78" s="8" t="s">
        <v>52</v>
      </c>
      <c r="E78" s="8" t="s">
        <v>42</v>
      </c>
      <c r="F78" s="8" t="s">
        <v>74</v>
      </c>
      <c r="G78" s="8">
        <v>2023</v>
      </c>
      <c r="H78" s="8" t="str">
        <f>CONCATENATE("34240298272")</f>
        <v>34240298272</v>
      </c>
      <c r="I78" s="8" t="s">
        <v>32</v>
      </c>
      <c r="J78" s="8" t="s">
        <v>33</v>
      </c>
      <c r="K78" s="8" t="str">
        <f t="shared" si="5"/>
        <v/>
      </c>
      <c r="L78" s="8" t="str">
        <f>CONCATENATE("11 11.2 4b")</f>
        <v>11 11.2 4b</v>
      </c>
      <c r="M78" s="8" t="str">
        <f>CONCATENATE("02600250423")</f>
        <v>02600250423</v>
      </c>
      <c r="N78" s="8" t="s">
        <v>154</v>
      </c>
      <c r="O78" s="8" t="s">
        <v>35</v>
      </c>
      <c r="P78" s="9">
        <v>45355</v>
      </c>
      <c r="Q78" s="8" t="s">
        <v>36</v>
      </c>
      <c r="R78" s="8" t="s">
        <v>37</v>
      </c>
      <c r="S78" s="8" t="s">
        <v>38</v>
      </c>
      <c r="T78" s="8"/>
      <c r="U78" s="8" t="s">
        <v>39</v>
      </c>
      <c r="V78" s="8">
        <v>576.92999999999995</v>
      </c>
      <c r="W78" s="8">
        <v>248.77</v>
      </c>
      <c r="X78" s="8">
        <v>229.73</v>
      </c>
      <c r="Y78" s="8">
        <v>98.43</v>
      </c>
      <c r="Z78" s="8">
        <v>0</v>
      </c>
    </row>
    <row r="79" spans="1:26" ht="49.2" x14ac:dyDescent="0.3">
      <c r="A79" s="8" t="s">
        <v>27</v>
      </c>
      <c r="B79" s="8" t="s">
        <v>28</v>
      </c>
      <c r="C79" s="8" t="s">
        <v>29</v>
      </c>
      <c r="D79" s="8" t="s">
        <v>30</v>
      </c>
      <c r="E79" s="8" t="s">
        <v>86</v>
      </c>
      <c r="F79" s="8" t="s">
        <v>99</v>
      </c>
      <c r="G79" s="8">
        <v>2023</v>
      </c>
      <c r="H79" s="8" t="str">
        <f>CONCATENATE("34210050604")</f>
        <v>34210050604</v>
      </c>
      <c r="I79" s="8" t="s">
        <v>32</v>
      </c>
      <c r="J79" s="8" t="s">
        <v>33</v>
      </c>
      <c r="K79" s="8" t="str">
        <f t="shared" si="5"/>
        <v/>
      </c>
      <c r="L79" s="8" t="str">
        <f>CONCATENATE("13 13.1 4a")</f>
        <v>13 13.1 4a</v>
      </c>
      <c r="M79" s="8" t="str">
        <f>CONCATENATE("FRTFLV56T41F509U")</f>
        <v>FRTFLV56T41F509U</v>
      </c>
      <c r="N79" s="8" t="s">
        <v>155</v>
      </c>
      <c r="O79" s="8" t="s">
        <v>49</v>
      </c>
      <c r="P79" s="9">
        <v>45355</v>
      </c>
      <c r="Q79" s="8" t="s">
        <v>36</v>
      </c>
      <c r="R79" s="8" t="s">
        <v>37</v>
      </c>
      <c r="S79" s="8" t="s">
        <v>38</v>
      </c>
      <c r="T79" s="8"/>
      <c r="U79" s="8" t="s">
        <v>39</v>
      </c>
      <c r="V79" s="10">
        <v>1724.4</v>
      </c>
      <c r="W79" s="8">
        <v>743.56</v>
      </c>
      <c r="X79" s="8">
        <v>686.66</v>
      </c>
      <c r="Y79" s="8">
        <v>294.18</v>
      </c>
      <c r="Z79" s="8">
        <v>0</v>
      </c>
    </row>
    <row r="80" spans="1:26" ht="30" x14ac:dyDescent="0.3">
      <c r="A80" s="8" t="s">
        <v>27</v>
      </c>
      <c r="B80" s="8" t="s">
        <v>28</v>
      </c>
      <c r="C80" s="8" t="s">
        <v>29</v>
      </c>
      <c r="D80" s="8" t="s">
        <v>30</v>
      </c>
      <c r="E80" s="8" t="s">
        <v>57</v>
      </c>
      <c r="F80" s="8" t="s">
        <v>119</v>
      </c>
      <c r="G80" s="8">
        <v>2018</v>
      </c>
      <c r="H80" s="8" t="str">
        <f>CONCATENATE("84211107762")</f>
        <v>84211107762</v>
      </c>
      <c r="I80" s="8" t="s">
        <v>32</v>
      </c>
      <c r="J80" s="8" t="s">
        <v>33</v>
      </c>
      <c r="K80" s="8" t="str">
        <f t="shared" si="5"/>
        <v/>
      </c>
      <c r="L80" s="8" t="str">
        <f>CONCATENATE("13 13.1 4a")</f>
        <v>13 13.1 4a</v>
      </c>
      <c r="M80" s="8" t="str">
        <f>CONCATENATE("83005350422")</f>
        <v>83005350422</v>
      </c>
      <c r="N80" s="8" t="s">
        <v>156</v>
      </c>
      <c r="O80" s="8" t="s">
        <v>49</v>
      </c>
      <c r="P80" s="9">
        <v>45355</v>
      </c>
      <c r="Q80" s="8" t="s">
        <v>36</v>
      </c>
      <c r="R80" s="8" t="s">
        <v>37</v>
      </c>
      <c r="S80" s="8" t="s">
        <v>38</v>
      </c>
      <c r="T80" s="8"/>
      <c r="U80" s="8" t="s">
        <v>39</v>
      </c>
      <c r="V80" s="10">
        <v>6479.2</v>
      </c>
      <c r="W80" s="10">
        <v>2793.83</v>
      </c>
      <c r="X80" s="10">
        <v>2580.02</v>
      </c>
      <c r="Y80" s="10">
        <v>1105.3499999999999</v>
      </c>
      <c r="Z80" s="8">
        <v>0</v>
      </c>
    </row>
    <row r="81" spans="1:26" ht="58.8" x14ac:dyDescent="0.3">
      <c r="A81" s="8" t="s">
        <v>27</v>
      </c>
      <c r="B81" s="8" t="s">
        <v>28</v>
      </c>
      <c r="C81" s="8" t="s">
        <v>29</v>
      </c>
      <c r="D81" s="8" t="s">
        <v>41</v>
      </c>
      <c r="E81" s="8" t="s">
        <v>46</v>
      </c>
      <c r="F81" s="8" t="s">
        <v>157</v>
      </c>
      <c r="G81" s="8">
        <v>2023</v>
      </c>
      <c r="H81" s="8" t="str">
        <f>CONCATENATE("34210001029")</f>
        <v>34210001029</v>
      </c>
      <c r="I81" s="8" t="s">
        <v>32</v>
      </c>
      <c r="J81" s="8" t="s">
        <v>33</v>
      </c>
      <c r="K81" s="8" t="str">
        <f t="shared" si="5"/>
        <v/>
      </c>
      <c r="L81" s="8" t="str">
        <f>CONCATENATE("13 13.1 4a")</f>
        <v>13 13.1 4a</v>
      </c>
      <c r="M81" s="8" t="str">
        <f>CONCATENATE("MRNLSN77H27D488I")</f>
        <v>MRNLSN77H27D488I</v>
      </c>
      <c r="N81" s="8" t="s">
        <v>158</v>
      </c>
      <c r="O81" s="8" t="s">
        <v>49</v>
      </c>
      <c r="P81" s="9">
        <v>45355</v>
      </c>
      <c r="Q81" s="8" t="s">
        <v>36</v>
      </c>
      <c r="R81" s="8" t="s">
        <v>37</v>
      </c>
      <c r="S81" s="8" t="s">
        <v>38</v>
      </c>
      <c r="T81" s="8"/>
      <c r="U81" s="8" t="s">
        <v>39</v>
      </c>
      <c r="V81" s="8">
        <v>82.45</v>
      </c>
      <c r="W81" s="8">
        <v>35.549999999999997</v>
      </c>
      <c r="X81" s="8">
        <v>32.83</v>
      </c>
      <c r="Y81" s="8">
        <v>14.07</v>
      </c>
      <c r="Z81" s="8">
        <v>0</v>
      </c>
    </row>
    <row r="82" spans="1:26" ht="58.8" x14ac:dyDescent="0.3">
      <c r="A82" s="8" t="s">
        <v>27</v>
      </c>
      <c r="B82" s="8" t="s">
        <v>28</v>
      </c>
      <c r="C82" s="8" t="s">
        <v>29</v>
      </c>
      <c r="D82" s="8" t="s">
        <v>30</v>
      </c>
      <c r="E82" s="8" t="s">
        <v>46</v>
      </c>
      <c r="F82" s="8" t="s">
        <v>104</v>
      </c>
      <c r="G82" s="8">
        <v>2023</v>
      </c>
      <c r="H82" s="8" t="str">
        <f>CONCATENATE("34210068309")</f>
        <v>34210068309</v>
      </c>
      <c r="I82" s="8" t="s">
        <v>32</v>
      </c>
      <c r="J82" s="8" t="s">
        <v>33</v>
      </c>
      <c r="K82" s="8" t="str">
        <f t="shared" si="5"/>
        <v/>
      </c>
      <c r="L82" s="8" t="str">
        <f>CONCATENATE("13 13.1 4a")</f>
        <v>13 13.1 4a</v>
      </c>
      <c r="M82" s="8" t="str">
        <f>CONCATENATE("ZZIMSM73M05A252N")</f>
        <v>ZZIMSM73M05A252N</v>
      </c>
      <c r="N82" s="8" t="s">
        <v>159</v>
      </c>
      <c r="O82" s="8" t="s">
        <v>49</v>
      </c>
      <c r="P82" s="9">
        <v>45355</v>
      </c>
      <c r="Q82" s="8" t="s">
        <v>36</v>
      </c>
      <c r="R82" s="8" t="s">
        <v>37</v>
      </c>
      <c r="S82" s="8" t="s">
        <v>38</v>
      </c>
      <c r="T82" s="8"/>
      <c r="U82" s="8" t="s">
        <v>39</v>
      </c>
      <c r="V82" s="10">
        <v>9313.43</v>
      </c>
      <c r="W82" s="10">
        <v>4015.95</v>
      </c>
      <c r="X82" s="10">
        <v>3708.61</v>
      </c>
      <c r="Y82" s="10">
        <v>1588.87</v>
      </c>
      <c r="Z82" s="8">
        <v>0</v>
      </c>
    </row>
    <row r="83" spans="1:26" ht="30" x14ac:dyDescent="0.3">
      <c r="A83" s="8" t="s">
        <v>27</v>
      </c>
      <c r="B83" s="8" t="s">
        <v>28</v>
      </c>
      <c r="C83" s="8" t="s">
        <v>29</v>
      </c>
      <c r="D83" s="8" t="s">
        <v>52</v>
      </c>
      <c r="E83" s="8" t="s">
        <v>46</v>
      </c>
      <c r="F83" s="8" t="s">
        <v>107</v>
      </c>
      <c r="G83" s="8">
        <v>2023</v>
      </c>
      <c r="H83" s="8" t="str">
        <f>CONCATENATE("34240183987")</f>
        <v>34240183987</v>
      </c>
      <c r="I83" s="8" t="s">
        <v>32</v>
      </c>
      <c r="J83" s="8" t="s">
        <v>33</v>
      </c>
      <c r="K83" s="8" t="str">
        <f t="shared" si="5"/>
        <v/>
      </c>
      <c r="L83" s="8" t="str">
        <f>CONCATENATE("10 10.1 4a")</f>
        <v>10 10.1 4a</v>
      </c>
      <c r="M83" s="8" t="str">
        <f>CONCATENATE("02635860428")</f>
        <v>02635860428</v>
      </c>
      <c r="N83" s="8" t="s">
        <v>160</v>
      </c>
      <c r="O83" s="8" t="s">
        <v>60</v>
      </c>
      <c r="P83" s="9">
        <v>45355</v>
      </c>
      <c r="Q83" s="8" t="s">
        <v>36</v>
      </c>
      <c r="R83" s="8" t="s">
        <v>37</v>
      </c>
      <c r="S83" s="8" t="s">
        <v>38</v>
      </c>
      <c r="T83" s="8"/>
      <c r="U83" s="8" t="s">
        <v>39</v>
      </c>
      <c r="V83" s="8">
        <v>724.12</v>
      </c>
      <c r="W83" s="8">
        <v>312.24</v>
      </c>
      <c r="X83" s="8">
        <v>288.33999999999997</v>
      </c>
      <c r="Y83" s="8">
        <v>123.54</v>
      </c>
      <c r="Z83" s="8">
        <v>0</v>
      </c>
    </row>
    <row r="84" spans="1:26" ht="30" x14ac:dyDescent="0.3">
      <c r="A84" s="8" t="s">
        <v>27</v>
      </c>
      <c r="B84" s="8" t="s">
        <v>28</v>
      </c>
      <c r="C84" s="8" t="s">
        <v>29</v>
      </c>
      <c r="D84" s="8" t="s">
        <v>30</v>
      </c>
      <c r="E84" s="8" t="s">
        <v>135</v>
      </c>
      <c r="F84" s="8" t="s">
        <v>136</v>
      </c>
      <c r="G84" s="8">
        <v>2023</v>
      </c>
      <c r="H84" s="8" t="str">
        <f>CONCATENATE("34240621184")</f>
        <v>34240621184</v>
      </c>
      <c r="I84" s="8" t="s">
        <v>32</v>
      </c>
      <c r="J84" s="8" t="s">
        <v>33</v>
      </c>
      <c r="K84" s="8" t="str">
        <f t="shared" si="5"/>
        <v/>
      </c>
      <c r="L84" s="8" t="str">
        <f>CONCATENATE("11 11.2 4b")</f>
        <v>11 11.2 4b</v>
      </c>
      <c r="M84" s="8" t="str">
        <f>CONCATENATE("13157191001")</f>
        <v>13157191001</v>
      </c>
      <c r="N84" s="8" t="s">
        <v>161</v>
      </c>
      <c r="O84" s="8" t="s">
        <v>35</v>
      </c>
      <c r="P84" s="9">
        <v>45355</v>
      </c>
      <c r="Q84" s="8" t="s">
        <v>36</v>
      </c>
      <c r="R84" s="8" t="s">
        <v>37</v>
      </c>
      <c r="S84" s="8" t="s">
        <v>38</v>
      </c>
      <c r="T84" s="8"/>
      <c r="U84" s="8" t="s">
        <v>39</v>
      </c>
      <c r="V84" s="10">
        <v>2959.83</v>
      </c>
      <c r="W84" s="10">
        <v>1276.28</v>
      </c>
      <c r="X84" s="10">
        <v>1178.5999999999999</v>
      </c>
      <c r="Y84" s="8">
        <v>504.95</v>
      </c>
      <c r="Z84" s="8">
        <v>0</v>
      </c>
    </row>
    <row r="85" spans="1:26" ht="30" x14ac:dyDescent="0.3">
      <c r="A85" s="8" t="s">
        <v>27</v>
      </c>
      <c r="B85" s="8" t="s">
        <v>28</v>
      </c>
      <c r="C85" s="8" t="s">
        <v>29</v>
      </c>
      <c r="D85" s="8" t="s">
        <v>30</v>
      </c>
      <c r="E85" s="8" t="s">
        <v>135</v>
      </c>
      <c r="F85" s="8" t="s">
        <v>136</v>
      </c>
      <c r="G85" s="8">
        <v>2023</v>
      </c>
      <c r="H85" s="8" t="str">
        <f>CONCATENATE("34240657113")</f>
        <v>34240657113</v>
      </c>
      <c r="I85" s="8" t="s">
        <v>32</v>
      </c>
      <c r="J85" s="8" t="s">
        <v>33</v>
      </c>
      <c r="K85" s="8" t="str">
        <f t="shared" si="5"/>
        <v/>
      </c>
      <c r="L85" s="8" t="str">
        <f>CONCATENATE("11 11.2 4b")</f>
        <v>11 11.2 4b</v>
      </c>
      <c r="M85" s="8" t="str">
        <f>CONCATENATE("02471630448")</f>
        <v>02471630448</v>
      </c>
      <c r="N85" s="8" t="s">
        <v>162</v>
      </c>
      <c r="O85" s="8" t="s">
        <v>35</v>
      </c>
      <c r="P85" s="9">
        <v>45355</v>
      </c>
      <c r="Q85" s="8" t="s">
        <v>36</v>
      </c>
      <c r="R85" s="8" t="s">
        <v>37</v>
      </c>
      <c r="S85" s="8" t="s">
        <v>38</v>
      </c>
      <c r="T85" s="8"/>
      <c r="U85" s="8" t="s">
        <v>39</v>
      </c>
      <c r="V85" s="8">
        <v>597.14</v>
      </c>
      <c r="W85" s="8">
        <v>257.49</v>
      </c>
      <c r="X85" s="8">
        <v>237.78</v>
      </c>
      <c r="Y85" s="8">
        <v>101.87</v>
      </c>
      <c r="Z85" s="8">
        <v>0</v>
      </c>
    </row>
    <row r="86" spans="1:26" ht="49.2" x14ac:dyDescent="0.3">
      <c r="A86" s="8" t="s">
        <v>27</v>
      </c>
      <c r="B86" s="8" t="s">
        <v>28</v>
      </c>
      <c r="C86" s="8" t="s">
        <v>29</v>
      </c>
      <c r="D86" s="8" t="s">
        <v>52</v>
      </c>
      <c r="E86" s="8" t="s">
        <v>46</v>
      </c>
      <c r="F86" s="8" t="s">
        <v>107</v>
      </c>
      <c r="G86" s="8">
        <v>2023</v>
      </c>
      <c r="H86" s="8" t="str">
        <f>CONCATENATE("34240269240")</f>
        <v>34240269240</v>
      </c>
      <c r="I86" s="8" t="s">
        <v>32</v>
      </c>
      <c r="J86" s="8" t="s">
        <v>33</v>
      </c>
      <c r="K86" s="8" t="str">
        <f t="shared" si="5"/>
        <v/>
      </c>
      <c r="L86" s="8" t="str">
        <f>CONCATENATE("11 11.2 4b")</f>
        <v>11 11.2 4b</v>
      </c>
      <c r="M86" s="8" t="str">
        <f>CONCATENATE("VRDNNZ44P53C704S")</f>
        <v>VRDNNZ44P53C704S</v>
      </c>
      <c r="N86" s="8" t="s">
        <v>163</v>
      </c>
      <c r="O86" s="8" t="s">
        <v>35</v>
      </c>
      <c r="P86" s="9">
        <v>45355</v>
      </c>
      <c r="Q86" s="8" t="s">
        <v>36</v>
      </c>
      <c r="R86" s="8" t="s">
        <v>37</v>
      </c>
      <c r="S86" s="8" t="s">
        <v>38</v>
      </c>
      <c r="T86" s="8"/>
      <c r="U86" s="8" t="s">
        <v>39</v>
      </c>
      <c r="V86" s="8">
        <v>346.48</v>
      </c>
      <c r="W86" s="8">
        <v>149.4</v>
      </c>
      <c r="X86" s="8">
        <v>137.97</v>
      </c>
      <c r="Y86" s="8">
        <v>59.11</v>
      </c>
      <c r="Z86" s="8">
        <v>0</v>
      </c>
    </row>
    <row r="87" spans="1:26" ht="49.2" x14ac:dyDescent="0.3">
      <c r="A87" s="8" t="s">
        <v>27</v>
      </c>
      <c r="B87" s="8" t="s">
        <v>28</v>
      </c>
      <c r="C87" s="8" t="s">
        <v>29</v>
      </c>
      <c r="D87" s="8" t="s">
        <v>41</v>
      </c>
      <c r="E87" s="8" t="s">
        <v>71</v>
      </c>
      <c r="F87" s="8" t="s">
        <v>142</v>
      </c>
      <c r="G87" s="8">
        <v>2023</v>
      </c>
      <c r="H87" s="8" t="str">
        <f>CONCATENATE("34240271006")</f>
        <v>34240271006</v>
      </c>
      <c r="I87" s="8" t="s">
        <v>32</v>
      </c>
      <c r="J87" s="8" t="s">
        <v>33</v>
      </c>
      <c r="K87" s="8" t="str">
        <f t="shared" si="5"/>
        <v/>
      </c>
      <c r="L87" s="8" t="str">
        <f>CONCATENATE("10 10.1 4a")</f>
        <v>10 10.1 4a</v>
      </c>
      <c r="M87" s="8" t="str">
        <f>CONCATENATE("BNFDNT65T28D007O")</f>
        <v>BNFDNT65T28D007O</v>
      </c>
      <c r="N87" s="8" t="s">
        <v>164</v>
      </c>
      <c r="O87" s="8" t="s">
        <v>60</v>
      </c>
      <c r="P87" s="9">
        <v>45355</v>
      </c>
      <c r="Q87" s="8" t="s">
        <v>36</v>
      </c>
      <c r="R87" s="8" t="s">
        <v>37</v>
      </c>
      <c r="S87" s="8" t="s">
        <v>38</v>
      </c>
      <c r="T87" s="8"/>
      <c r="U87" s="8" t="s">
        <v>39</v>
      </c>
      <c r="V87" s="8">
        <v>565.95000000000005</v>
      </c>
      <c r="W87" s="8">
        <v>244.04</v>
      </c>
      <c r="X87" s="8">
        <v>225.36</v>
      </c>
      <c r="Y87" s="8">
        <v>96.55</v>
      </c>
      <c r="Z87" s="8">
        <v>0</v>
      </c>
    </row>
    <row r="88" spans="1:26" ht="49.2" x14ac:dyDescent="0.3">
      <c r="A88" s="8" t="s">
        <v>27</v>
      </c>
      <c r="B88" s="8" t="s">
        <v>28</v>
      </c>
      <c r="C88" s="8" t="s">
        <v>29</v>
      </c>
      <c r="D88" s="8" t="s">
        <v>52</v>
      </c>
      <c r="E88" s="8" t="s">
        <v>71</v>
      </c>
      <c r="F88" s="8" t="s">
        <v>95</v>
      </c>
      <c r="G88" s="8">
        <v>2023</v>
      </c>
      <c r="H88" s="8" t="str">
        <f>CONCATENATE("34240311224")</f>
        <v>34240311224</v>
      </c>
      <c r="I88" s="8" t="s">
        <v>32</v>
      </c>
      <c r="J88" s="8" t="s">
        <v>33</v>
      </c>
      <c r="K88" s="8" t="str">
        <f t="shared" si="5"/>
        <v/>
      </c>
      <c r="L88" s="8" t="str">
        <f>CONCATENATE("11 11.2 4b")</f>
        <v>11 11.2 4b</v>
      </c>
      <c r="M88" s="8" t="str">
        <f>CONCATENATE("SPDTTL52C09I653Y")</f>
        <v>SPDTTL52C09I653Y</v>
      </c>
      <c r="N88" s="8" t="s">
        <v>165</v>
      </c>
      <c r="O88" s="8" t="s">
        <v>35</v>
      </c>
      <c r="P88" s="9">
        <v>45355</v>
      </c>
      <c r="Q88" s="8" t="s">
        <v>36</v>
      </c>
      <c r="R88" s="8" t="s">
        <v>37</v>
      </c>
      <c r="S88" s="8" t="s">
        <v>38</v>
      </c>
      <c r="T88" s="8"/>
      <c r="U88" s="8" t="s">
        <v>39</v>
      </c>
      <c r="V88" s="8">
        <v>96.31</v>
      </c>
      <c r="W88" s="8">
        <v>41.53</v>
      </c>
      <c r="X88" s="8">
        <v>38.35</v>
      </c>
      <c r="Y88" s="8">
        <v>16.43</v>
      </c>
      <c r="Z88" s="8">
        <v>0</v>
      </c>
    </row>
    <row r="89" spans="1:26" ht="49.2" x14ac:dyDescent="0.3">
      <c r="A89" s="8" t="s">
        <v>27</v>
      </c>
      <c r="B89" s="8" t="s">
        <v>28</v>
      </c>
      <c r="C89" s="8" t="s">
        <v>29</v>
      </c>
      <c r="D89" s="8" t="s">
        <v>41</v>
      </c>
      <c r="E89" s="8" t="s">
        <v>71</v>
      </c>
      <c r="F89" s="8" t="s">
        <v>142</v>
      </c>
      <c r="G89" s="8">
        <v>2023</v>
      </c>
      <c r="H89" s="8" t="str">
        <f>CONCATENATE("34210057203")</f>
        <v>34210057203</v>
      </c>
      <c r="I89" s="8" t="s">
        <v>32</v>
      </c>
      <c r="J89" s="8" t="s">
        <v>33</v>
      </c>
      <c r="K89" s="8" t="str">
        <f t="shared" si="5"/>
        <v/>
      </c>
      <c r="L89" s="8" t="str">
        <f>CONCATENATE("13 13.1 4a")</f>
        <v>13 13.1 4a</v>
      </c>
      <c r="M89" s="8" t="str">
        <f>CONCATENATE("BNFDNT65T28D007O")</f>
        <v>BNFDNT65T28D007O</v>
      </c>
      <c r="N89" s="8" t="s">
        <v>164</v>
      </c>
      <c r="O89" s="8" t="s">
        <v>49</v>
      </c>
      <c r="P89" s="9">
        <v>45355</v>
      </c>
      <c r="Q89" s="8" t="s">
        <v>36</v>
      </c>
      <c r="R89" s="8" t="s">
        <v>37</v>
      </c>
      <c r="S89" s="8" t="s">
        <v>38</v>
      </c>
      <c r="T89" s="8"/>
      <c r="U89" s="8" t="s">
        <v>39</v>
      </c>
      <c r="V89" s="10">
        <v>3195.1</v>
      </c>
      <c r="W89" s="10">
        <v>1377.73</v>
      </c>
      <c r="X89" s="10">
        <v>1272.29</v>
      </c>
      <c r="Y89" s="8">
        <v>545.08000000000004</v>
      </c>
      <c r="Z89" s="8">
        <v>0</v>
      </c>
    </row>
    <row r="90" spans="1:26" ht="30" x14ac:dyDescent="0.3">
      <c r="A90" s="8" t="s">
        <v>27</v>
      </c>
      <c r="B90" s="8" t="s">
        <v>28</v>
      </c>
      <c r="C90" s="8" t="s">
        <v>29</v>
      </c>
      <c r="D90" s="8" t="s">
        <v>41</v>
      </c>
      <c r="E90" s="8" t="s">
        <v>31</v>
      </c>
      <c r="F90" s="8" t="s">
        <v>31</v>
      </c>
      <c r="G90" s="8">
        <v>2023</v>
      </c>
      <c r="H90" s="8" t="str">
        <f>CONCATENATE("34240471531")</f>
        <v>34240471531</v>
      </c>
      <c r="I90" s="8" t="s">
        <v>32</v>
      </c>
      <c r="J90" s="8" t="s">
        <v>33</v>
      </c>
      <c r="K90" s="8" t="str">
        <f t="shared" si="5"/>
        <v/>
      </c>
      <c r="L90" s="8" t="str">
        <f>CONCATENATE("11 11.2 4b")</f>
        <v>11 11.2 4b</v>
      </c>
      <c r="M90" s="8" t="str">
        <f>CONCATENATE("02035550413")</f>
        <v>02035550413</v>
      </c>
      <c r="N90" s="8" t="s">
        <v>166</v>
      </c>
      <c r="O90" s="8" t="s">
        <v>35</v>
      </c>
      <c r="P90" s="9">
        <v>45355</v>
      </c>
      <c r="Q90" s="8" t="s">
        <v>36</v>
      </c>
      <c r="R90" s="8" t="s">
        <v>37</v>
      </c>
      <c r="S90" s="8" t="s">
        <v>38</v>
      </c>
      <c r="T90" s="8"/>
      <c r="U90" s="8" t="s">
        <v>39</v>
      </c>
      <c r="V90" s="10">
        <v>2268.0300000000002</v>
      </c>
      <c r="W90" s="8">
        <v>977.97</v>
      </c>
      <c r="X90" s="8">
        <v>903.13</v>
      </c>
      <c r="Y90" s="8">
        <v>386.93</v>
      </c>
      <c r="Z90" s="8">
        <v>0</v>
      </c>
    </row>
    <row r="91" spans="1:26" ht="30" x14ac:dyDescent="0.3">
      <c r="A91" s="8" t="s">
        <v>27</v>
      </c>
      <c r="B91" s="8" t="s">
        <v>28</v>
      </c>
      <c r="C91" s="8" t="s">
        <v>29</v>
      </c>
      <c r="D91" s="8" t="s">
        <v>41</v>
      </c>
      <c r="E91" s="8" t="s">
        <v>31</v>
      </c>
      <c r="F91" s="8" t="s">
        <v>31</v>
      </c>
      <c r="G91" s="8">
        <v>2023</v>
      </c>
      <c r="H91" s="8" t="str">
        <f>CONCATENATE("34240468636")</f>
        <v>34240468636</v>
      </c>
      <c r="I91" s="8" t="s">
        <v>32</v>
      </c>
      <c r="J91" s="8" t="s">
        <v>33</v>
      </c>
      <c r="K91" s="8" t="str">
        <f t="shared" si="5"/>
        <v/>
      </c>
      <c r="L91" s="8" t="str">
        <f>CONCATENATE("11 11.2 4b")</f>
        <v>11 11.2 4b</v>
      </c>
      <c r="M91" s="8" t="str">
        <f>CONCATENATE("01307920411")</f>
        <v>01307920411</v>
      </c>
      <c r="N91" s="8" t="s">
        <v>167</v>
      </c>
      <c r="O91" s="8" t="s">
        <v>35</v>
      </c>
      <c r="P91" s="9">
        <v>45355</v>
      </c>
      <c r="Q91" s="8" t="s">
        <v>36</v>
      </c>
      <c r="R91" s="8" t="s">
        <v>37</v>
      </c>
      <c r="S91" s="8" t="s">
        <v>38</v>
      </c>
      <c r="T91" s="8"/>
      <c r="U91" s="8" t="s">
        <v>39</v>
      </c>
      <c r="V91" s="8">
        <v>689.88</v>
      </c>
      <c r="W91" s="8">
        <v>297.48</v>
      </c>
      <c r="X91" s="8">
        <v>274.70999999999998</v>
      </c>
      <c r="Y91" s="8">
        <v>117.69</v>
      </c>
      <c r="Z91" s="8">
        <v>0</v>
      </c>
    </row>
    <row r="92" spans="1:26" ht="30" x14ac:dyDescent="0.3">
      <c r="A92" s="8" t="s">
        <v>27</v>
      </c>
      <c r="B92" s="8" t="s">
        <v>28</v>
      </c>
      <c r="C92" s="8" t="s">
        <v>29</v>
      </c>
      <c r="D92" s="8" t="s">
        <v>41</v>
      </c>
      <c r="E92" s="8" t="s">
        <v>31</v>
      </c>
      <c r="F92" s="8" t="s">
        <v>31</v>
      </c>
      <c r="G92" s="8">
        <v>2023</v>
      </c>
      <c r="H92" s="8" t="str">
        <f>CONCATENATE("34240454966")</f>
        <v>34240454966</v>
      </c>
      <c r="I92" s="8" t="s">
        <v>32</v>
      </c>
      <c r="J92" s="8" t="s">
        <v>33</v>
      </c>
      <c r="K92" s="8" t="str">
        <f t="shared" si="5"/>
        <v/>
      </c>
      <c r="L92" s="8" t="str">
        <f>CONCATENATE("11 11.2 4b")</f>
        <v>11 11.2 4b</v>
      </c>
      <c r="M92" s="8" t="str">
        <f>CONCATENATE("01379190414")</f>
        <v>01379190414</v>
      </c>
      <c r="N92" s="8" t="s">
        <v>168</v>
      </c>
      <c r="O92" s="8" t="s">
        <v>35</v>
      </c>
      <c r="P92" s="9">
        <v>45355</v>
      </c>
      <c r="Q92" s="8" t="s">
        <v>36</v>
      </c>
      <c r="R92" s="8" t="s">
        <v>37</v>
      </c>
      <c r="S92" s="8" t="s">
        <v>38</v>
      </c>
      <c r="T92" s="8"/>
      <c r="U92" s="8" t="s">
        <v>39</v>
      </c>
      <c r="V92" s="10">
        <v>9349.7099999999991</v>
      </c>
      <c r="W92" s="10">
        <v>4031.59</v>
      </c>
      <c r="X92" s="10">
        <v>3723.05</v>
      </c>
      <c r="Y92" s="10">
        <v>1595.07</v>
      </c>
      <c r="Z92" s="8">
        <v>0</v>
      </c>
    </row>
    <row r="93" spans="1:26" ht="30" x14ac:dyDescent="0.3">
      <c r="A93" s="8" t="s">
        <v>27</v>
      </c>
      <c r="B93" s="8" t="s">
        <v>28</v>
      </c>
      <c r="C93" s="8" t="s">
        <v>29</v>
      </c>
      <c r="D93" s="8" t="s">
        <v>41</v>
      </c>
      <c r="E93" s="8" t="s">
        <v>31</v>
      </c>
      <c r="F93" s="8" t="s">
        <v>31</v>
      </c>
      <c r="G93" s="8">
        <v>2023</v>
      </c>
      <c r="H93" s="8" t="str">
        <f>CONCATENATE("34210077854")</f>
        <v>34210077854</v>
      </c>
      <c r="I93" s="8" t="s">
        <v>32</v>
      </c>
      <c r="J93" s="8" t="s">
        <v>33</v>
      </c>
      <c r="K93" s="8" t="str">
        <f t="shared" si="5"/>
        <v/>
      </c>
      <c r="L93" s="8" t="str">
        <f>CONCATENATE("13 13.1 4a")</f>
        <v>13 13.1 4a</v>
      </c>
      <c r="M93" s="8" t="str">
        <f>CONCATENATE("01379190414")</f>
        <v>01379190414</v>
      </c>
      <c r="N93" s="8" t="s">
        <v>168</v>
      </c>
      <c r="O93" s="8" t="s">
        <v>49</v>
      </c>
      <c r="P93" s="9">
        <v>45355</v>
      </c>
      <c r="Q93" s="8" t="s">
        <v>36</v>
      </c>
      <c r="R93" s="8" t="s">
        <v>37</v>
      </c>
      <c r="S93" s="8" t="s">
        <v>38</v>
      </c>
      <c r="T93" s="8"/>
      <c r="U93" s="8" t="s">
        <v>39</v>
      </c>
      <c r="V93" s="10">
        <v>11250</v>
      </c>
      <c r="W93" s="10">
        <v>4851</v>
      </c>
      <c r="X93" s="10">
        <v>4479.75</v>
      </c>
      <c r="Y93" s="10">
        <v>1919.25</v>
      </c>
      <c r="Z93" s="8">
        <v>0</v>
      </c>
    </row>
    <row r="94" spans="1:26" ht="58.8" x14ac:dyDescent="0.3">
      <c r="A94" s="8" t="s">
        <v>27</v>
      </c>
      <c r="B94" s="8" t="s">
        <v>28</v>
      </c>
      <c r="C94" s="8" t="s">
        <v>29</v>
      </c>
      <c r="D94" s="8" t="s">
        <v>52</v>
      </c>
      <c r="E94" s="8" t="s">
        <v>46</v>
      </c>
      <c r="F94" s="8" t="s">
        <v>126</v>
      </c>
      <c r="G94" s="8">
        <v>2023</v>
      </c>
      <c r="H94" s="8" t="str">
        <f>CONCATENATE("34240048198")</f>
        <v>34240048198</v>
      </c>
      <c r="I94" s="8" t="s">
        <v>32</v>
      </c>
      <c r="J94" s="8" t="s">
        <v>33</v>
      </c>
      <c r="K94" s="8" t="str">
        <f t="shared" si="5"/>
        <v/>
      </c>
      <c r="L94" s="8" t="str">
        <f>CONCATENATE("10 10.1 4a")</f>
        <v>10 10.1 4a</v>
      </c>
      <c r="M94" s="8" t="str">
        <f>CONCATENATE("CRBMRN71L71G157I")</f>
        <v>CRBMRN71L71G157I</v>
      </c>
      <c r="N94" s="8" t="s">
        <v>169</v>
      </c>
      <c r="O94" s="8" t="s">
        <v>60</v>
      </c>
      <c r="P94" s="9">
        <v>45355</v>
      </c>
      <c r="Q94" s="8" t="s">
        <v>36</v>
      </c>
      <c r="R94" s="8" t="s">
        <v>37</v>
      </c>
      <c r="S94" s="8" t="s">
        <v>38</v>
      </c>
      <c r="T94" s="8"/>
      <c r="U94" s="8" t="s">
        <v>39</v>
      </c>
      <c r="V94" s="8">
        <v>273.32</v>
      </c>
      <c r="W94" s="8">
        <v>117.86</v>
      </c>
      <c r="X94" s="8">
        <v>108.84</v>
      </c>
      <c r="Y94" s="8">
        <v>46.62</v>
      </c>
      <c r="Z94" s="8">
        <v>0</v>
      </c>
    </row>
    <row r="95" spans="1:26" ht="49.2" x14ac:dyDescent="0.3">
      <c r="A95" s="8" t="s">
        <v>27</v>
      </c>
      <c r="B95" s="8" t="s">
        <v>28</v>
      </c>
      <c r="C95" s="8" t="s">
        <v>29</v>
      </c>
      <c r="D95" s="8" t="s">
        <v>30</v>
      </c>
      <c r="E95" s="8" t="s">
        <v>46</v>
      </c>
      <c r="F95" s="8" t="s">
        <v>104</v>
      </c>
      <c r="G95" s="8">
        <v>2023</v>
      </c>
      <c r="H95" s="8" t="str">
        <f>CONCATENATE("34240363738")</f>
        <v>34240363738</v>
      </c>
      <c r="I95" s="8" t="s">
        <v>32</v>
      </c>
      <c r="J95" s="8" t="s">
        <v>33</v>
      </c>
      <c r="K95" s="8" t="str">
        <f t="shared" si="5"/>
        <v/>
      </c>
      <c r="L95" s="8" t="str">
        <f>CONCATENATE("10 10.1 4a")</f>
        <v>10 10.1 4a</v>
      </c>
      <c r="M95" s="8" t="str">
        <f>CONCATENATE("MZZSFN89D15H769C")</f>
        <v>MZZSFN89D15H769C</v>
      </c>
      <c r="N95" s="8" t="s">
        <v>170</v>
      </c>
      <c r="O95" s="8" t="s">
        <v>60</v>
      </c>
      <c r="P95" s="9">
        <v>45355</v>
      </c>
      <c r="Q95" s="8" t="s">
        <v>36</v>
      </c>
      <c r="R95" s="8" t="s">
        <v>37</v>
      </c>
      <c r="S95" s="8" t="s">
        <v>38</v>
      </c>
      <c r="T95" s="8"/>
      <c r="U95" s="8" t="s">
        <v>39</v>
      </c>
      <c r="V95" s="8">
        <v>868.03</v>
      </c>
      <c r="W95" s="8">
        <v>374.29</v>
      </c>
      <c r="X95" s="8">
        <v>345.65</v>
      </c>
      <c r="Y95" s="8">
        <v>148.09</v>
      </c>
      <c r="Z95" s="8">
        <v>0</v>
      </c>
    </row>
    <row r="96" spans="1:26" ht="49.2" x14ac:dyDescent="0.3">
      <c r="A96" s="8" t="s">
        <v>27</v>
      </c>
      <c r="B96" s="8" t="s">
        <v>28</v>
      </c>
      <c r="C96" s="8" t="s">
        <v>29</v>
      </c>
      <c r="D96" s="8" t="s">
        <v>52</v>
      </c>
      <c r="E96" s="8" t="s">
        <v>86</v>
      </c>
      <c r="F96" s="8" t="s">
        <v>171</v>
      </c>
      <c r="G96" s="8">
        <v>2023</v>
      </c>
      <c r="H96" s="8" t="str">
        <f>CONCATENATE("34240101567")</f>
        <v>34240101567</v>
      </c>
      <c r="I96" s="8" t="s">
        <v>32</v>
      </c>
      <c r="J96" s="8" t="s">
        <v>33</v>
      </c>
      <c r="K96" s="8" t="str">
        <f t="shared" si="5"/>
        <v/>
      </c>
      <c r="L96" s="8" t="str">
        <f t="shared" ref="L96:L109" si="6">CONCATENATE("11 11.2 4b")</f>
        <v>11 11.2 4b</v>
      </c>
      <c r="M96" s="8" t="str">
        <f>CONCATENATE("FRNGLI85A69F205N")</f>
        <v>FRNGLI85A69F205N</v>
      </c>
      <c r="N96" s="8" t="s">
        <v>172</v>
      </c>
      <c r="O96" s="8" t="s">
        <v>35</v>
      </c>
      <c r="P96" s="9">
        <v>45355</v>
      </c>
      <c r="Q96" s="8" t="s">
        <v>36</v>
      </c>
      <c r="R96" s="8" t="s">
        <v>37</v>
      </c>
      <c r="S96" s="8" t="s">
        <v>38</v>
      </c>
      <c r="T96" s="8"/>
      <c r="U96" s="8" t="s">
        <v>39</v>
      </c>
      <c r="V96" s="8">
        <v>396.32</v>
      </c>
      <c r="W96" s="8">
        <v>170.89</v>
      </c>
      <c r="X96" s="8">
        <v>157.81</v>
      </c>
      <c r="Y96" s="8">
        <v>67.62</v>
      </c>
      <c r="Z96" s="8">
        <v>0</v>
      </c>
    </row>
    <row r="97" spans="1:26" ht="58.8" x14ac:dyDescent="0.3">
      <c r="A97" s="8" t="s">
        <v>27</v>
      </c>
      <c r="B97" s="8" t="s">
        <v>28</v>
      </c>
      <c r="C97" s="8" t="s">
        <v>29</v>
      </c>
      <c r="D97" s="8" t="s">
        <v>52</v>
      </c>
      <c r="E97" s="8" t="s">
        <v>71</v>
      </c>
      <c r="F97" s="8" t="s">
        <v>116</v>
      </c>
      <c r="G97" s="8">
        <v>2023</v>
      </c>
      <c r="H97" s="8" t="str">
        <f>CONCATENATE("34240178144")</f>
        <v>34240178144</v>
      </c>
      <c r="I97" s="8" t="s">
        <v>32</v>
      </c>
      <c r="J97" s="8" t="s">
        <v>33</v>
      </c>
      <c r="K97" s="8" t="str">
        <f t="shared" si="5"/>
        <v/>
      </c>
      <c r="L97" s="8" t="str">
        <f t="shared" si="6"/>
        <v>11 11.2 4b</v>
      </c>
      <c r="M97" s="8" t="str">
        <f>CONCATENATE("MGNFRN44L06I008A")</f>
        <v>MGNFRN44L06I008A</v>
      </c>
      <c r="N97" s="8" t="s">
        <v>173</v>
      </c>
      <c r="O97" s="8" t="s">
        <v>35</v>
      </c>
      <c r="P97" s="9">
        <v>45355</v>
      </c>
      <c r="Q97" s="8" t="s">
        <v>36</v>
      </c>
      <c r="R97" s="8" t="s">
        <v>37</v>
      </c>
      <c r="S97" s="8" t="s">
        <v>38</v>
      </c>
      <c r="T97" s="8"/>
      <c r="U97" s="8" t="s">
        <v>39</v>
      </c>
      <c r="V97" s="8">
        <v>100.18</v>
      </c>
      <c r="W97" s="8">
        <v>43.2</v>
      </c>
      <c r="X97" s="8">
        <v>39.89</v>
      </c>
      <c r="Y97" s="8">
        <v>17.09</v>
      </c>
      <c r="Z97" s="8">
        <v>0</v>
      </c>
    </row>
    <row r="98" spans="1:26" ht="58.8" x14ac:dyDescent="0.3">
      <c r="A98" s="8" t="s">
        <v>27</v>
      </c>
      <c r="B98" s="8" t="s">
        <v>28</v>
      </c>
      <c r="C98" s="8" t="s">
        <v>29</v>
      </c>
      <c r="D98" s="8" t="s">
        <v>52</v>
      </c>
      <c r="E98" s="8" t="s">
        <v>71</v>
      </c>
      <c r="F98" s="8" t="s">
        <v>124</v>
      </c>
      <c r="G98" s="8">
        <v>2023</v>
      </c>
      <c r="H98" s="8" t="str">
        <f>CONCATENATE("34240024124")</f>
        <v>34240024124</v>
      </c>
      <c r="I98" s="8" t="s">
        <v>32</v>
      </c>
      <c r="J98" s="8" t="s">
        <v>33</v>
      </c>
      <c r="K98" s="8" t="str">
        <f t="shared" si="5"/>
        <v/>
      </c>
      <c r="L98" s="8" t="str">
        <f t="shared" si="6"/>
        <v>11 11.2 4b</v>
      </c>
      <c r="M98" s="8" t="str">
        <f>CONCATENATE("MNSNMR71R05E388M")</f>
        <v>MNSNMR71R05E388M</v>
      </c>
      <c r="N98" s="8" t="s">
        <v>174</v>
      </c>
      <c r="O98" s="8" t="s">
        <v>35</v>
      </c>
      <c r="P98" s="9">
        <v>45355</v>
      </c>
      <c r="Q98" s="8" t="s">
        <v>36</v>
      </c>
      <c r="R98" s="8" t="s">
        <v>37</v>
      </c>
      <c r="S98" s="8" t="s">
        <v>38</v>
      </c>
      <c r="T98" s="8"/>
      <c r="U98" s="8" t="s">
        <v>39</v>
      </c>
      <c r="V98" s="8">
        <v>184.1</v>
      </c>
      <c r="W98" s="8">
        <v>79.38</v>
      </c>
      <c r="X98" s="8">
        <v>73.31</v>
      </c>
      <c r="Y98" s="8">
        <v>31.41</v>
      </c>
      <c r="Z98" s="8">
        <v>0</v>
      </c>
    </row>
    <row r="99" spans="1:26" ht="49.2" x14ac:dyDescent="0.3">
      <c r="A99" s="8" t="s">
        <v>27</v>
      </c>
      <c r="B99" s="8" t="s">
        <v>28</v>
      </c>
      <c r="C99" s="8" t="s">
        <v>29</v>
      </c>
      <c r="D99" s="8" t="s">
        <v>30</v>
      </c>
      <c r="E99" s="8" t="s">
        <v>175</v>
      </c>
      <c r="F99" s="8" t="s">
        <v>176</v>
      </c>
      <c r="G99" s="8">
        <v>2023</v>
      </c>
      <c r="H99" s="8" t="str">
        <f>CONCATENATE("34240171966")</f>
        <v>34240171966</v>
      </c>
      <c r="I99" s="8" t="s">
        <v>32</v>
      </c>
      <c r="J99" s="8" t="s">
        <v>33</v>
      </c>
      <c r="K99" s="8" t="str">
        <f t="shared" si="5"/>
        <v/>
      </c>
      <c r="L99" s="8" t="str">
        <f t="shared" si="6"/>
        <v>11 11.2 4b</v>
      </c>
      <c r="M99" s="8" t="str">
        <f>CONCATENATE("MSSPRZ77M07G005T")</f>
        <v>MSSPRZ77M07G005T</v>
      </c>
      <c r="N99" s="8" t="s">
        <v>177</v>
      </c>
      <c r="O99" s="8" t="s">
        <v>35</v>
      </c>
      <c r="P99" s="9">
        <v>45355</v>
      </c>
      <c r="Q99" s="8" t="s">
        <v>36</v>
      </c>
      <c r="R99" s="8" t="s">
        <v>37</v>
      </c>
      <c r="S99" s="8" t="s">
        <v>38</v>
      </c>
      <c r="T99" s="8"/>
      <c r="U99" s="8" t="s">
        <v>39</v>
      </c>
      <c r="V99" s="8">
        <v>482.04</v>
      </c>
      <c r="W99" s="8">
        <v>207.86</v>
      </c>
      <c r="X99" s="8">
        <v>191.95</v>
      </c>
      <c r="Y99" s="8">
        <v>82.23</v>
      </c>
      <c r="Z99" s="8">
        <v>0</v>
      </c>
    </row>
    <row r="100" spans="1:26" ht="58.8" x14ac:dyDescent="0.3">
      <c r="A100" s="8" t="s">
        <v>27</v>
      </c>
      <c r="B100" s="8" t="s">
        <v>28</v>
      </c>
      <c r="C100" s="8" t="s">
        <v>29</v>
      </c>
      <c r="D100" s="8" t="s">
        <v>30</v>
      </c>
      <c r="E100" s="8" t="s">
        <v>46</v>
      </c>
      <c r="F100" s="8" t="s">
        <v>133</v>
      </c>
      <c r="G100" s="8">
        <v>2023</v>
      </c>
      <c r="H100" s="8" t="str">
        <f>CONCATENATE("34240292226")</f>
        <v>34240292226</v>
      </c>
      <c r="I100" s="8" t="s">
        <v>32</v>
      </c>
      <c r="J100" s="8" t="s">
        <v>33</v>
      </c>
      <c r="K100" s="8" t="str">
        <f t="shared" si="5"/>
        <v/>
      </c>
      <c r="L100" s="8" t="str">
        <f t="shared" si="6"/>
        <v>11 11.2 4b</v>
      </c>
      <c r="M100" s="8" t="str">
        <f>CONCATENATE("GSPTNN67R10G920U")</f>
        <v>GSPTNN67R10G920U</v>
      </c>
      <c r="N100" s="8" t="s">
        <v>178</v>
      </c>
      <c r="O100" s="8" t="s">
        <v>35</v>
      </c>
      <c r="P100" s="9">
        <v>45355</v>
      </c>
      <c r="Q100" s="8" t="s">
        <v>36</v>
      </c>
      <c r="R100" s="8" t="s">
        <v>37</v>
      </c>
      <c r="S100" s="8" t="s">
        <v>38</v>
      </c>
      <c r="T100" s="8"/>
      <c r="U100" s="8" t="s">
        <v>39</v>
      </c>
      <c r="V100" s="10">
        <v>1271.72</v>
      </c>
      <c r="W100" s="8">
        <v>548.37</v>
      </c>
      <c r="X100" s="8">
        <v>506.4</v>
      </c>
      <c r="Y100" s="8">
        <v>216.95</v>
      </c>
      <c r="Z100" s="8">
        <v>0</v>
      </c>
    </row>
    <row r="101" spans="1:26" ht="49.2" x14ac:dyDescent="0.3">
      <c r="A101" s="8" t="s">
        <v>27</v>
      </c>
      <c r="B101" s="8" t="s">
        <v>28</v>
      </c>
      <c r="C101" s="8" t="s">
        <v>29</v>
      </c>
      <c r="D101" s="8" t="s">
        <v>30</v>
      </c>
      <c r="E101" s="8" t="s">
        <v>71</v>
      </c>
      <c r="F101" s="8" t="s">
        <v>89</v>
      </c>
      <c r="G101" s="8">
        <v>2023</v>
      </c>
      <c r="H101" s="8" t="str">
        <f>CONCATENATE("34240133495")</f>
        <v>34240133495</v>
      </c>
      <c r="I101" s="8" t="s">
        <v>32</v>
      </c>
      <c r="J101" s="8" t="s">
        <v>33</v>
      </c>
      <c r="K101" s="8" t="str">
        <f t="shared" si="5"/>
        <v/>
      </c>
      <c r="L101" s="8" t="str">
        <f t="shared" si="6"/>
        <v>11 11.2 4b</v>
      </c>
      <c r="M101" s="8" t="str">
        <f>CONCATENATE("FBAMRC73S09H769L")</f>
        <v>FBAMRC73S09H769L</v>
      </c>
      <c r="N101" s="8" t="s">
        <v>179</v>
      </c>
      <c r="O101" s="8" t="s">
        <v>35</v>
      </c>
      <c r="P101" s="9">
        <v>45355</v>
      </c>
      <c r="Q101" s="8" t="s">
        <v>36</v>
      </c>
      <c r="R101" s="8" t="s">
        <v>37</v>
      </c>
      <c r="S101" s="8" t="s">
        <v>38</v>
      </c>
      <c r="T101" s="8"/>
      <c r="U101" s="8" t="s">
        <v>39</v>
      </c>
      <c r="V101" s="10">
        <v>1312.1</v>
      </c>
      <c r="W101" s="8">
        <v>565.78</v>
      </c>
      <c r="X101" s="8">
        <v>522.48</v>
      </c>
      <c r="Y101" s="8">
        <v>223.84</v>
      </c>
      <c r="Z101" s="8">
        <v>0</v>
      </c>
    </row>
    <row r="102" spans="1:26" ht="49.2" x14ac:dyDescent="0.3">
      <c r="A102" s="8" t="s">
        <v>27</v>
      </c>
      <c r="B102" s="8" t="s">
        <v>28</v>
      </c>
      <c r="C102" s="8" t="s">
        <v>29</v>
      </c>
      <c r="D102" s="8" t="s">
        <v>52</v>
      </c>
      <c r="E102" s="8" t="s">
        <v>46</v>
      </c>
      <c r="F102" s="8" t="s">
        <v>180</v>
      </c>
      <c r="G102" s="8">
        <v>2023</v>
      </c>
      <c r="H102" s="8" t="str">
        <f>CONCATENATE("34240278373")</f>
        <v>34240278373</v>
      </c>
      <c r="I102" s="8" t="s">
        <v>32</v>
      </c>
      <c r="J102" s="8" t="s">
        <v>33</v>
      </c>
      <c r="K102" s="8" t="str">
        <f t="shared" si="5"/>
        <v/>
      </c>
      <c r="L102" s="8" t="str">
        <f t="shared" si="6"/>
        <v>11 11.2 4b</v>
      </c>
      <c r="M102" s="8" t="str">
        <f>CONCATENATE("PRNLBT67T64G157T")</f>
        <v>PRNLBT67T64G157T</v>
      </c>
      <c r="N102" s="8" t="s">
        <v>181</v>
      </c>
      <c r="O102" s="8" t="s">
        <v>35</v>
      </c>
      <c r="P102" s="9">
        <v>45355</v>
      </c>
      <c r="Q102" s="8" t="s">
        <v>36</v>
      </c>
      <c r="R102" s="8" t="s">
        <v>37</v>
      </c>
      <c r="S102" s="8" t="s">
        <v>38</v>
      </c>
      <c r="T102" s="8"/>
      <c r="U102" s="8" t="s">
        <v>39</v>
      </c>
      <c r="V102" s="10">
        <v>2604.9499999999998</v>
      </c>
      <c r="W102" s="10">
        <v>1123.25</v>
      </c>
      <c r="X102" s="10">
        <v>1037.29</v>
      </c>
      <c r="Y102" s="8">
        <v>444.41</v>
      </c>
      <c r="Z102" s="8">
        <v>0</v>
      </c>
    </row>
    <row r="103" spans="1:26" ht="49.2" x14ac:dyDescent="0.3">
      <c r="A103" s="8" t="s">
        <v>27</v>
      </c>
      <c r="B103" s="8" t="s">
        <v>28</v>
      </c>
      <c r="C103" s="8" t="s">
        <v>29</v>
      </c>
      <c r="D103" s="8" t="s">
        <v>30</v>
      </c>
      <c r="E103" s="8" t="s">
        <v>135</v>
      </c>
      <c r="F103" s="8" t="s">
        <v>136</v>
      </c>
      <c r="G103" s="8">
        <v>2023</v>
      </c>
      <c r="H103" s="8" t="str">
        <f>CONCATENATE("34240657568")</f>
        <v>34240657568</v>
      </c>
      <c r="I103" s="8" t="s">
        <v>32</v>
      </c>
      <c r="J103" s="8" t="s">
        <v>33</v>
      </c>
      <c r="K103" s="8" t="str">
        <f t="shared" si="5"/>
        <v/>
      </c>
      <c r="L103" s="8" t="str">
        <f t="shared" si="6"/>
        <v>11 11.2 4b</v>
      </c>
      <c r="M103" s="8" t="str">
        <f>CONCATENATE("NGLNLN48M70C321K")</f>
        <v>NGLNLN48M70C321K</v>
      </c>
      <c r="N103" s="8" t="s">
        <v>182</v>
      </c>
      <c r="O103" s="8" t="s">
        <v>35</v>
      </c>
      <c r="P103" s="9">
        <v>45355</v>
      </c>
      <c r="Q103" s="8" t="s">
        <v>36</v>
      </c>
      <c r="R103" s="8" t="s">
        <v>37</v>
      </c>
      <c r="S103" s="8" t="s">
        <v>38</v>
      </c>
      <c r="T103" s="8"/>
      <c r="U103" s="8" t="s">
        <v>39</v>
      </c>
      <c r="V103" s="8">
        <v>445.67</v>
      </c>
      <c r="W103" s="8">
        <v>192.17</v>
      </c>
      <c r="X103" s="8">
        <v>177.47</v>
      </c>
      <c r="Y103" s="8">
        <v>76.03</v>
      </c>
      <c r="Z103" s="8">
        <v>0</v>
      </c>
    </row>
    <row r="104" spans="1:26" ht="30" x14ac:dyDescent="0.3">
      <c r="A104" s="8" t="s">
        <v>27</v>
      </c>
      <c r="B104" s="8" t="s">
        <v>28</v>
      </c>
      <c r="C104" s="8" t="s">
        <v>29</v>
      </c>
      <c r="D104" s="8" t="s">
        <v>52</v>
      </c>
      <c r="E104" s="8" t="s">
        <v>71</v>
      </c>
      <c r="F104" s="8" t="s">
        <v>124</v>
      </c>
      <c r="G104" s="8">
        <v>2023</v>
      </c>
      <c r="H104" s="8" t="str">
        <f>CONCATENATE("34240033372")</f>
        <v>34240033372</v>
      </c>
      <c r="I104" s="8" t="s">
        <v>32</v>
      </c>
      <c r="J104" s="8" t="s">
        <v>33</v>
      </c>
      <c r="K104" s="8" t="str">
        <f t="shared" si="5"/>
        <v/>
      </c>
      <c r="L104" s="8" t="str">
        <f t="shared" si="6"/>
        <v>11 11.2 4b</v>
      </c>
      <c r="M104" s="8" t="str">
        <f>CONCATENATE("02293390429")</f>
        <v>02293390429</v>
      </c>
      <c r="N104" s="8" t="s">
        <v>183</v>
      </c>
      <c r="O104" s="8" t="s">
        <v>35</v>
      </c>
      <c r="P104" s="9">
        <v>45355</v>
      </c>
      <c r="Q104" s="8" t="s">
        <v>36</v>
      </c>
      <c r="R104" s="8" t="s">
        <v>37</v>
      </c>
      <c r="S104" s="8" t="s">
        <v>38</v>
      </c>
      <c r="T104" s="8"/>
      <c r="U104" s="8" t="s">
        <v>39</v>
      </c>
      <c r="V104" s="8">
        <v>996.32</v>
      </c>
      <c r="W104" s="8">
        <v>429.61</v>
      </c>
      <c r="X104" s="8">
        <v>396.73</v>
      </c>
      <c r="Y104" s="8">
        <v>169.98</v>
      </c>
      <c r="Z104" s="8">
        <v>0</v>
      </c>
    </row>
    <row r="105" spans="1:26" ht="30" x14ac:dyDescent="0.3">
      <c r="A105" s="8" t="s">
        <v>27</v>
      </c>
      <c r="B105" s="8" t="s">
        <v>28</v>
      </c>
      <c r="C105" s="8" t="s">
        <v>29</v>
      </c>
      <c r="D105" s="8" t="s">
        <v>52</v>
      </c>
      <c r="E105" s="8" t="s">
        <v>57</v>
      </c>
      <c r="F105" s="8" t="s">
        <v>65</v>
      </c>
      <c r="G105" s="8">
        <v>2023</v>
      </c>
      <c r="H105" s="8" t="str">
        <f>CONCATENATE("34240077502")</f>
        <v>34240077502</v>
      </c>
      <c r="I105" s="8" t="s">
        <v>32</v>
      </c>
      <c r="J105" s="8" t="s">
        <v>33</v>
      </c>
      <c r="K105" s="8" t="str">
        <f t="shared" si="5"/>
        <v/>
      </c>
      <c r="L105" s="8" t="str">
        <f t="shared" si="6"/>
        <v>11 11.2 4b</v>
      </c>
      <c r="M105" s="8" t="str">
        <f>CONCATENATE("02832020420")</f>
        <v>02832020420</v>
      </c>
      <c r="N105" s="8" t="s">
        <v>184</v>
      </c>
      <c r="O105" s="8" t="s">
        <v>35</v>
      </c>
      <c r="P105" s="9">
        <v>45355</v>
      </c>
      <c r="Q105" s="8" t="s">
        <v>36</v>
      </c>
      <c r="R105" s="8" t="s">
        <v>37</v>
      </c>
      <c r="S105" s="8" t="s">
        <v>38</v>
      </c>
      <c r="T105" s="8"/>
      <c r="U105" s="8" t="s">
        <v>39</v>
      </c>
      <c r="V105" s="8">
        <v>364.8</v>
      </c>
      <c r="W105" s="8">
        <v>157.30000000000001</v>
      </c>
      <c r="X105" s="8">
        <v>145.26</v>
      </c>
      <c r="Y105" s="8">
        <v>62.24</v>
      </c>
      <c r="Z105" s="8">
        <v>0</v>
      </c>
    </row>
    <row r="106" spans="1:26" ht="30" x14ac:dyDescent="0.3">
      <c r="A106" s="8" t="s">
        <v>27</v>
      </c>
      <c r="B106" s="8" t="s">
        <v>28</v>
      </c>
      <c r="C106" s="8" t="s">
        <v>29</v>
      </c>
      <c r="D106" s="8" t="s">
        <v>30</v>
      </c>
      <c r="E106" s="8" t="s">
        <v>86</v>
      </c>
      <c r="F106" s="8" t="s">
        <v>185</v>
      </c>
      <c r="G106" s="8">
        <v>2023</v>
      </c>
      <c r="H106" s="8" t="str">
        <f>CONCATENATE("34240654649")</f>
        <v>34240654649</v>
      </c>
      <c r="I106" s="8" t="s">
        <v>32</v>
      </c>
      <c r="J106" s="8" t="s">
        <v>33</v>
      </c>
      <c r="K106" s="8" t="str">
        <f t="shared" si="5"/>
        <v/>
      </c>
      <c r="L106" s="8" t="str">
        <f t="shared" si="6"/>
        <v>11 11.2 4b</v>
      </c>
      <c r="M106" s="8" t="str">
        <f>CONCATENATE("01968650448")</f>
        <v>01968650448</v>
      </c>
      <c r="N106" s="8" t="s">
        <v>186</v>
      </c>
      <c r="O106" s="8" t="s">
        <v>35</v>
      </c>
      <c r="P106" s="9">
        <v>45355</v>
      </c>
      <c r="Q106" s="8" t="s">
        <v>36</v>
      </c>
      <c r="R106" s="8" t="s">
        <v>37</v>
      </c>
      <c r="S106" s="8" t="s">
        <v>38</v>
      </c>
      <c r="T106" s="8"/>
      <c r="U106" s="8" t="s">
        <v>39</v>
      </c>
      <c r="V106" s="10">
        <v>1979.43</v>
      </c>
      <c r="W106" s="8">
        <v>853.53</v>
      </c>
      <c r="X106" s="8">
        <v>788.21</v>
      </c>
      <c r="Y106" s="8">
        <v>337.69</v>
      </c>
      <c r="Z106" s="8">
        <v>0</v>
      </c>
    </row>
    <row r="107" spans="1:26" ht="30" x14ac:dyDescent="0.3">
      <c r="A107" s="8" t="s">
        <v>27</v>
      </c>
      <c r="B107" s="8" t="s">
        <v>28</v>
      </c>
      <c r="C107" s="8" t="s">
        <v>29</v>
      </c>
      <c r="D107" s="8" t="s">
        <v>52</v>
      </c>
      <c r="E107" s="8" t="s">
        <v>31</v>
      </c>
      <c r="F107" s="8" t="s">
        <v>31</v>
      </c>
      <c r="G107" s="8">
        <v>2023</v>
      </c>
      <c r="H107" s="8" t="str">
        <f>CONCATENATE("34240546027")</f>
        <v>34240546027</v>
      </c>
      <c r="I107" s="8" t="s">
        <v>32</v>
      </c>
      <c r="J107" s="8" t="s">
        <v>33</v>
      </c>
      <c r="K107" s="8" t="str">
        <f t="shared" si="5"/>
        <v/>
      </c>
      <c r="L107" s="8" t="str">
        <f t="shared" si="6"/>
        <v>11 11.2 4b</v>
      </c>
      <c r="M107" s="8" t="str">
        <f>CONCATENATE("02391960420")</f>
        <v>02391960420</v>
      </c>
      <c r="N107" s="8" t="s">
        <v>187</v>
      </c>
      <c r="O107" s="8" t="s">
        <v>35</v>
      </c>
      <c r="P107" s="9">
        <v>45355</v>
      </c>
      <c r="Q107" s="8" t="s">
        <v>36</v>
      </c>
      <c r="R107" s="8" t="s">
        <v>37</v>
      </c>
      <c r="S107" s="8" t="s">
        <v>38</v>
      </c>
      <c r="T107" s="8"/>
      <c r="U107" s="8" t="s">
        <v>39</v>
      </c>
      <c r="V107" s="10">
        <v>20128.04</v>
      </c>
      <c r="W107" s="10">
        <v>8679.2099999999991</v>
      </c>
      <c r="X107" s="10">
        <v>8014.99</v>
      </c>
      <c r="Y107" s="10">
        <v>3433.84</v>
      </c>
      <c r="Z107" s="8">
        <v>0</v>
      </c>
    </row>
    <row r="108" spans="1:26" ht="49.2" x14ac:dyDescent="0.3">
      <c r="A108" s="8" t="s">
        <v>27</v>
      </c>
      <c r="B108" s="8" t="s">
        <v>28</v>
      </c>
      <c r="C108" s="8" t="s">
        <v>29</v>
      </c>
      <c r="D108" s="8" t="s">
        <v>52</v>
      </c>
      <c r="E108" s="8" t="s">
        <v>71</v>
      </c>
      <c r="F108" s="8" t="s">
        <v>188</v>
      </c>
      <c r="G108" s="8">
        <v>2023</v>
      </c>
      <c r="H108" s="8" t="str">
        <f>CONCATENATE("34240260447")</f>
        <v>34240260447</v>
      </c>
      <c r="I108" s="8" t="s">
        <v>32</v>
      </c>
      <c r="J108" s="8" t="s">
        <v>33</v>
      </c>
      <c r="K108" s="8" t="str">
        <f t="shared" si="5"/>
        <v/>
      </c>
      <c r="L108" s="8" t="str">
        <f t="shared" si="6"/>
        <v>11 11.2 4b</v>
      </c>
      <c r="M108" s="8" t="str">
        <f>CONCATENATE("FLGVNT86P65C615V")</f>
        <v>FLGVNT86P65C615V</v>
      </c>
      <c r="N108" s="8" t="s">
        <v>189</v>
      </c>
      <c r="O108" s="8" t="s">
        <v>35</v>
      </c>
      <c r="P108" s="9">
        <v>45355</v>
      </c>
      <c r="Q108" s="8" t="s">
        <v>36</v>
      </c>
      <c r="R108" s="8" t="s">
        <v>37</v>
      </c>
      <c r="S108" s="8" t="s">
        <v>38</v>
      </c>
      <c r="T108" s="8"/>
      <c r="U108" s="8" t="s">
        <v>39</v>
      </c>
      <c r="V108" s="8">
        <v>3.13</v>
      </c>
      <c r="W108" s="8">
        <v>1.35</v>
      </c>
      <c r="X108" s="8">
        <v>1.25</v>
      </c>
      <c r="Y108" s="8">
        <v>0.53</v>
      </c>
      <c r="Z108" s="8">
        <v>0</v>
      </c>
    </row>
    <row r="109" spans="1:26" ht="49.2" x14ac:dyDescent="0.3">
      <c r="A109" s="8" t="s">
        <v>27</v>
      </c>
      <c r="B109" s="8" t="s">
        <v>28</v>
      </c>
      <c r="C109" s="8" t="s">
        <v>29</v>
      </c>
      <c r="D109" s="8" t="s">
        <v>41</v>
      </c>
      <c r="E109" s="8" t="s">
        <v>71</v>
      </c>
      <c r="F109" s="8" t="s">
        <v>190</v>
      </c>
      <c r="G109" s="8">
        <v>2023</v>
      </c>
      <c r="H109" s="8" t="str">
        <f>CONCATENATE("34240394485")</f>
        <v>34240394485</v>
      </c>
      <c r="I109" s="8" t="s">
        <v>32</v>
      </c>
      <c r="J109" s="8" t="s">
        <v>33</v>
      </c>
      <c r="K109" s="8" t="str">
        <f t="shared" si="5"/>
        <v/>
      </c>
      <c r="L109" s="8" t="str">
        <f t="shared" si="6"/>
        <v>11 11.2 4b</v>
      </c>
      <c r="M109" s="8" t="str">
        <f>CONCATENATE("LNDGCM87B18L500O")</f>
        <v>LNDGCM87B18L500O</v>
      </c>
      <c r="N109" s="8" t="s">
        <v>191</v>
      </c>
      <c r="O109" s="8" t="s">
        <v>35</v>
      </c>
      <c r="P109" s="9">
        <v>45355</v>
      </c>
      <c r="Q109" s="8" t="s">
        <v>36</v>
      </c>
      <c r="R109" s="8" t="s">
        <v>37</v>
      </c>
      <c r="S109" s="8" t="s">
        <v>38</v>
      </c>
      <c r="T109" s="8"/>
      <c r="U109" s="8" t="s">
        <v>39</v>
      </c>
      <c r="V109" s="8">
        <v>738.18</v>
      </c>
      <c r="W109" s="8">
        <v>318.3</v>
      </c>
      <c r="X109" s="8">
        <v>293.94</v>
      </c>
      <c r="Y109" s="8">
        <v>125.94</v>
      </c>
      <c r="Z109" s="8">
        <v>0</v>
      </c>
    </row>
    <row r="110" spans="1:26" ht="49.2" x14ac:dyDescent="0.3">
      <c r="A110" s="8" t="s">
        <v>27</v>
      </c>
      <c r="B110" s="8" t="s">
        <v>28</v>
      </c>
      <c r="C110" s="8" t="s">
        <v>29</v>
      </c>
      <c r="D110" s="8" t="s">
        <v>41</v>
      </c>
      <c r="E110" s="8" t="s">
        <v>71</v>
      </c>
      <c r="F110" s="8" t="s">
        <v>190</v>
      </c>
      <c r="G110" s="8">
        <v>2023</v>
      </c>
      <c r="H110" s="8" t="str">
        <f>CONCATENATE("34210079124")</f>
        <v>34210079124</v>
      </c>
      <c r="I110" s="8" t="s">
        <v>32</v>
      </c>
      <c r="J110" s="8" t="s">
        <v>33</v>
      </c>
      <c r="K110" s="8" t="str">
        <f t="shared" si="5"/>
        <v/>
      </c>
      <c r="L110" s="8" t="str">
        <f>CONCATENATE("13 13.1 4a")</f>
        <v>13 13.1 4a</v>
      </c>
      <c r="M110" s="8" t="str">
        <f>CONCATENATE("LNDGCM87B18L500O")</f>
        <v>LNDGCM87B18L500O</v>
      </c>
      <c r="N110" s="8" t="s">
        <v>191</v>
      </c>
      <c r="O110" s="8" t="s">
        <v>49</v>
      </c>
      <c r="P110" s="9">
        <v>45355</v>
      </c>
      <c r="Q110" s="8" t="s">
        <v>36</v>
      </c>
      <c r="R110" s="8" t="s">
        <v>37</v>
      </c>
      <c r="S110" s="8" t="s">
        <v>38</v>
      </c>
      <c r="T110" s="8"/>
      <c r="U110" s="8" t="s">
        <v>39</v>
      </c>
      <c r="V110" s="8">
        <v>358.9</v>
      </c>
      <c r="W110" s="8">
        <v>154.76</v>
      </c>
      <c r="X110" s="8">
        <v>142.91</v>
      </c>
      <c r="Y110" s="8">
        <v>61.23</v>
      </c>
      <c r="Z110" s="8">
        <v>0</v>
      </c>
    </row>
    <row r="111" spans="1:26" ht="30" x14ac:dyDescent="0.3">
      <c r="A111" s="8" t="s">
        <v>27</v>
      </c>
      <c r="B111" s="8" t="s">
        <v>28</v>
      </c>
      <c r="C111" s="8" t="s">
        <v>29</v>
      </c>
      <c r="D111" s="8" t="s">
        <v>30</v>
      </c>
      <c r="E111" s="8" t="s">
        <v>42</v>
      </c>
      <c r="F111" s="8" t="s">
        <v>192</v>
      </c>
      <c r="G111" s="8">
        <v>2023</v>
      </c>
      <c r="H111" s="8" t="str">
        <f>CONCATENATE("34240644608")</f>
        <v>34240644608</v>
      </c>
      <c r="I111" s="8" t="s">
        <v>32</v>
      </c>
      <c r="J111" s="8" t="s">
        <v>33</v>
      </c>
      <c r="K111" s="8" t="str">
        <f t="shared" si="5"/>
        <v/>
      </c>
      <c r="L111" s="8" t="str">
        <f>CONCATENATE("11 11.2 4b")</f>
        <v>11 11.2 4b</v>
      </c>
      <c r="M111" s="8" t="str">
        <f>CONCATENATE("02452140441")</f>
        <v>02452140441</v>
      </c>
      <c r="N111" s="8" t="s">
        <v>193</v>
      </c>
      <c r="O111" s="8" t="s">
        <v>35</v>
      </c>
      <c r="P111" s="9">
        <v>45355</v>
      </c>
      <c r="Q111" s="8" t="s">
        <v>36</v>
      </c>
      <c r="R111" s="8" t="s">
        <v>37</v>
      </c>
      <c r="S111" s="8" t="s">
        <v>38</v>
      </c>
      <c r="T111" s="8"/>
      <c r="U111" s="8" t="s">
        <v>39</v>
      </c>
      <c r="V111" s="8">
        <v>579.54999999999995</v>
      </c>
      <c r="W111" s="8">
        <v>249.9</v>
      </c>
      <c r="X111" s="8">
        <v>230.78</v>
      </c>
      <c r="Y111" s="8">
        <v>98.87</v>
      </c>
      <c r="Z111" s="8">
        <v>0</v>
      </c>
    </row>
    <row r="112" spans="1:26" ht="49.2" x14ac:dyDescent="0.3">
      <c r="A112" s="8" t="s">
        <v>27</v>
      </c>
      <c r="B112" s="8" t="s">
        <v>28</v>
      </c>
      <c r="C112" s="8" t="s">
        <v>29</v>
      </c>
      <c r="D112" s="8" t="s">
        <v>52</v>
      </c>
      <c r="E112" s="8" t="s">
        <v>46</v>
      </c>
      <c r="F112" s="8" t="s">
        <v>53</v>
      </c>
      <c r="G112" s="8">
        <v>2023</v>
      </c>
      <c r="H112" s="8" t="str">
        <f>CONCATENATE("34240176080")</f>
        <v>34240176080</v>
      </c>
      <c r="I112" s="8" t="s">
        <v>32</v>
      </c>
      <c r="J112" s="8" t="s">
        <v>33</v>
      </c>
      <c r="K112" s="8" t="str">
        <f t="shared" si="5"/>
        <v/>
      </c>
      <c r="L112" s="8" t="str">
        <f>CONCATENATE("11 11.2 4b")</f>
        <v>11 11.2 4b</v>
      </c>
      <c r="M112" s="8" t="str">
        <f>CONCATENATE("PSSLSN59B14H501R")</f>
        <v>PSSLSN59B14H501R</v>
      </c>
      <c r="N112" s="8" t="s">
        <v>194</v>
      </c>
      <c r="O112" s="8" t="s">
        <v>35</v>
      </c>
      <c r="P112" s="9">
        <v>45355</v>
      </c>
      <c r="Q112" s="8" t="s">
        <v>36</v>
      </c>
      <c r="R112" s="8" t="s">
        <v>37</v>
      </c>
      <c r="S112" s="8" t="s">
        <v>38</v>
      </c>
      <c r="T112" s="8"/>
      <c r="U112" s="8" t="s">
        <v>39</v>
      </c>
      <c r="V112" s="8">
        <v>146.97999999999999</v>
      </c>
      <c r="W112" s="8">
        <v>63.38</v>
      </c>
      <c r="X112" s="8">
        <v>58.53</v>
      </c>
      <c r="Y112" s="8">
        <v>25.07</v>
      </c>
      <c r="Z112" s="8">
        <v>0</v>
      </c>
    </row>
    <row r="113" spans="1:26" ht="30" x14ac:dyDescent="0.3">
      <c r="A113" s="8" t="s">
        <v>27</v>
      </c>
      <c r="B113" s="8" t="s">
        <v>28</v>
      </c>
      <c r="C113" s="8" t="s">
        <v>29</v>
      </c>
      <c r="D113" s="8" t="s">
        <v>45</v>
      </c>
      <c r="E113" s="8" t="s">
        <v>42</v>
      </c>
      <c r="F113" s="8" t="s">
        <v>74</v>
      </c>
      <c r="G113" s="8">
        <v>2023</v>
      </c>
      <c r="H113" s="8" t="str">
        <f>CONCATENATE("34210045224")</f>
        <v>34210045224</v>
      </c>
      <c r="I113" s="8" t="s">
        <v>32</v>
      </c>
      <c r="J113" s="8" t="s">
        <v>33</v>
      </c>
      <c r="K113" s="8" t="str">
        <f t="shared" si="5"/>
        <v/>
      </c>
      <c r="L113" s="8" t="str">
        <f>CONCATENATE("13 13.1 4a")</f>
        <v>13 13.1 4a</v>
      </c>
      <c r="M113" s="8" t="str">
        <f>CONCATENATE("01094640438")</f>
        <v>01094640438</v>
      </c>
      <c r="N113" s="8" t="s">
        <v>195</v>
      </c>
      <c r="O113" s="8" t="s">
        <v>49</v>
      </c>
      <c r="P113" s="9">
        <v>45355</v>
      </c>
      <c r="Q113" s="8" t="s">
        <v>36</v>
      </c>
      <c r="R113" s="8" t="s">
        <v>37</v>
      </c>
      <c r="S113" s="8" t="s">
        <v>38</v>
      </c>
      <c r="T113" s="8"/>
      <c r="U113" s="8" t="s">
        <v>39</v>
      </c>
      <c r="V113" s="10">
        <v>3403.35</v>
      </c>
      <c r="W113" s="10">
        <v>1467.52</v>
      </c>
      <c r="X113" s="10">
        <v>1355.21</v>
      </c>
      <c r="Y113" s="8">
        <v>580.62</v>
      </c>
      <c r="Z113" s="8">
        <v>0</v>
      </c>
    </row>
    <row r="114" spans="1:26" ht="58.8" x14ac:dyDescent="0.3">
      <c r="A114" s="8" t="s">
        <v>27</v>
      </c>
      <c r="B114" s="8" t="s">
        <v>28</v>
      </c>
      <c r="C114" s="8" t="s">
        <v>29</v>
      </c>
      <c r="D114" s="8" t="s">
        <v>52</v>
      </c>
      <c r="E114" s="8" t="s">
        <v>71</v>
      </c>
      <c r="F114" s="8" t="s">
        <v>95</v>
      </c>
      <c r="G114" s="8">
        <v>2023</v>
      </c>
      <c r="H114" s="8" t="str">
        <f>CONCATENATE("34210081773")</f>
        <v>34210081773</v>
      </c>
      <c r="I114" s="8" t="s">
        <v>32</v>
      </c>
      <c r="J114" s="8" t="s">
        <v>33</v>
      </c>
      <c r="K114" s="8" t="str">
        <f t="shared" si="5"/>
        <v/>
      </c>
      <c r="L114" s="8" t="str">
        <f>CONCATENATE("13 13.1 4a")</f>
        <v>13 13.1 4a</v>
      </c>
      <c r="M114" s="8" t="str">
        <f>CONCATENATE("SCLMRK81A14A366D")</f>
        <v>SCLMRK81A14A366D</v>
      </c>
      <c r="N114" s="8" t="s">
        <v>196</v>
      </c>
      <c r="O114" s="8" t="s">
        <v>49</v>
      </c>
      <c r="P114" s="9">
        <v>45355</v>
      </c>
      <c r="Q114" s="8" t="s">
        <v>36</v>
      </c>
      <c r="R114" s="8" t="s">
        <v>37</v>
      </c>
      <c r="S114" s="8" t="s">
        <v>38</v>
      </c>
      <c r="T114" s="8"/>
      <c r="U114" s="8" t="s">
        <v>39</v>
      </c>
      <c r="V114" s="10">
        <v>3916.17</v>
      </c>
      <c r="W114" s="10">
        <v>1688.65</v>
      </c>
      <c r="X114" s="10">
        <v>1559.42</v>
      </c>
      <c r="Y114" s="8">
        <v>668.1</v>
      </c>
      <c r="Z114" s="8">
        <v>0</v>
      </c>
    </row>
    <row r="115" spans="1:26" ht="49.2" x14ac:dyDescent="0.3">
      <c r="A115" s="8" t="s">
        <v>27</v>
      </c>
      <c r="B115" s="8" t="s">
        <v>28</v>
      </c>
      <c r="C115" s="8" t="s">
        <v>29</v>
      </c>
      <c r="D115" s="8" t="s">
        <v>52</v>
      </c>
      <c r="E115" s="8" t="s">
        <v>128</v>
      </c>
      <c r="F115" s="8" t="s">
        <v>129</v>
      </c>
      <c r="G115" s="8">
        <v>2023</v>
      </c>
      <c r="H115" s="8" t="str">
        <f>CONCATENATE("34240067636")</f>
        <v>34240067636</v>
      </c>
      <c r="I115" s="8" t="s">
        <v>32</v>
      </c>
      <c r="J115" s="8" t="s">
        <v>33</v>
      </c>
      <c r="K115" s="8" t="str">
        <f t="shared" si="5"/>
        <v/>
      </c>
      <c r="L115" s="8" t="str">
        <f t="shared" ref="L115:L125" si="7">CONCATENATE("11 11.2 4b")</f>
        <v>11 11.2 4b</v>
      </c>
      <c r="M115" s="8" t="str">
        <f>CONCATENATE("RZZCPI82M21D451X")</f>
        <v>RZZCPI82M21D451X</v>
      </c>
      <c r="N115" s="8" t="s">
        <v>197</v>
      </c>
      <c r="O115" s="8" t="s">
        <v>35</v>
      </c>
      <c r="P115" s="9">
        <v>45355</v>
      </c>
      <c r="Q115" s="8" t="s">
        <v>36</v>
      </c>
      <c r="R115" s="8" t="s">
        <v>37</v>
      </c>
      <c r="S115" s="8" t="s">
        <v>38</v>
      </c>
      <c r="T115" s="8"/>
      <c r="U115" s="8" t="s">
        <v>39</v>
      </c>
      <c r="V115" s="8">
        <v>839.1</v>
      </c>
      <c r="W115" s="8">
        <v>361.82</v>
      </c>
      <c r="X115" s="8">
        <v>334.13</v>
      </c>
      <c r="Y115" s="8">
        <v>143.15</v>
      </c>
      <c r="Z115" s="8">
        <v>0</v>
      </c>
    </row>
    <row r="116" spans="1:26" ht="30" x14ac:dyDescent="0.3">
      <c r="A116" s="8" t="s">
        <v>27</v>
      </c>
      <c r="B116" s="8" t="s">
        <v>28</v>
      </c>
      <c r="C116" s="8" t="s">
        <v>29</v>
      </c>
      <c r="D116" s="8" t="s">
        <v>30</v>
      </c>
      <c r="E116" s="8" t="s">
        <v>71</v>
      </c>
      <c r="F116" s="8" t="s">
        <v>198</v>
      </c>
      <c r="G116" s="8">
        <v>2023</v>
      </c>
      <c r="H116" s="8" t="str">
        <f>CONCATENATE("34240490614")</f>
        <v>34240490614</v>
      </c>
      <c r="I116" s="8" t="s">
        <v>32</v>
      </c>
      <c r="J116" s="8" t="s">
        <v>33</v>
      </c>
      <c r="K116" s="8" t="str">
        <f t="shared" si="5"/>
        <v/>
      </c>
      <c r="L116" s="8" t="str">
        <f t="shared" si="7"/>
        <v>11 11.2 4b</v>
      </c>
      <c r="M116" s="8" t="str">
        <f>CONCATENATE("02069530448")</f>
        <v>02069530448</v>
      </c>
      <c r="N116" s="8" t="s">
        <v>199</v>
      </c>
      <c r="O116" s="8" t="s">
        <v>35</v>
      </c>
      <c r="P116" s="9">
        <v>45355</v>
      </c>
      <c r="Q116" s="8" t="s">
        <v>36</v>
      </c>
      <c r="R116" s="8" t="s">
        <v>37</v>
      </c>
      <c r="S116" s="8" t="s">
        <v>38</v>
      </c>
      <c r="T116" s="8"/>
      <c r="U116" s="8" t="s">
        <v>39</v>
      </c>
      <c r="V116" s="8">
        <v>626.11</v>
      </c>
      <c r="W116" s="8">
        <v>269.98</v>
      </c>
      <c r="X116" s="8">
        <v>249.32</v>
      </c>
      <c r="Y116" s="8">
        <v>106.81</v>
      </c>
      <c r="Z116" s="8">
        <v>0</v>
      </c>
    </row>
    <row r="117" spans="1:26" ht="30" x14ac:dyDescent="0.3">
      <c r="A117" s="8" t="s">
        <v>27</v>
      </c>
      <c r="B117" s="8" t="s">
        <v>28</v>
      </c>
      <c r="C117" s="8" t="s">
        <v>29</v>
      </c>
      <c r="D117" s="8" t="s">
        <v>30</v>
      </c>
      <c r="E117" s="8" t="s">
        <v>135</v>
      </c>
      <c r="F117" s="8" t="s">
        <v>136</v>
      </c>
      <c r="G117" s="8">
        <v>2023</v>
      </c>
      <c r="H117" s="8" t="str">
        <f>CONCATENATE("34240654060")</f>
        <v>34240654060</v>
      </c>
      <c r="I117" s="8" t="s">
        <v>32</v>
      </c>
      <c r="J117" s="8" t="s">
        <v>33</v>
      </c>
      <c r="K117" s="8" t="str">
        <f t="shared" si="5"/>
        <v/>
      </c>
      <c r="L117" s="8" t="str">
        <f t="shared" si="7"/>
        <v>11 11.2 4b</v>
      </c>
      <c r="M117" s="8" t="str">
        <f>CONCATENATE("01814170443")</f>
        <v>01814170443</v>
      </c>
      <c r="N117" s="8" t="s">
        <v>200</v>
      </c>
      <c r="O117" s="8" t="s">
        <v>35</v>
      </c>
      <c r="P117" s="9">
        <v>45355</v>
      </c>
      <c r="Q117" s="8" t="s">
        <v>36</v>
      </c>
      <c r="R117" s="8" t="s">
        <v>37</v>
      </c>
      <c r="S117" s="8" t="s">
        <v>38</v>
      </c>
      <c r="T117" s="8"/>
      <c r="U117" s="8" t="s">
        <v>39</v>
      </c>
      <c r="V117" s="10">
        <v>30852.95</v>
      </c>
      <c r="W117" s="10">
        <v>13303.79</v>
      </c>
      <c r="X117" s="10">
        <v>12285.64</v>
      </c>
      <c r="Y117" s="10">
        <v>5263.52</v>
      </c>
      <c r="Z117" s="8">
        <v>0</v>
      </c>
    </row>
    <row r="118" spans="1:26" ht="49.2" x14ac:dyDescent="0.3">
      <c r="A118" s="8" t="s">
        <v>27</v>
      </c>
      <c r="B118" s="8" t="s">
        <v>28</v>
      </c>
      <c r="C118" s="8" t="s">
        <v>29</v>
      </c>
      <c r="D118" s="8" t="s">
        <v>30</v>
      </c>
      <c r="E118" s="8" t="s">
        <v>46</v>
      </c>
      <c r="F118" s="8" t="s">
        <v>104</v>
      </c>
      <c r="G118" s="8">
        <v>2023</v>
      </c>
      <c r="H118" s="8" t="str">
        <f>CONCATENATE("34240006451")</f>
        <v>34240006451</v>
      </c>
      <c r="I118" s="8" t="s">
        <v>32</v>
      </c>
      <c r="J118" s="8" t="s">
        <v>33</v>
      </c>
      <c r="K118" s="8" t="str">
        <f t="shared" si="5"/>
        <v/>
      </c>
      <c r="L118" s="8" t="str">
        <f t="shared" si="7"/>
        <v>11 11.2 4b</v>
      </c>
      <c r="M118" s="8" t="str">
        <f>CONCATENATE("PSTDNC60R11F415I")</f>
        <v>PSTDNC60R11F415I</v>
      </c>
      <c r="N118" s="8" t="s">
        <v>201</v>
      </c>
      <c r="O118" s="8" t="s">
        <v>35</v>
      </c>
      <c r="P118" s="9">
        <v>45355</v>
      </c>
      <c r="Q118" s="8" t="s">
        <v>36</v>
      </c>
      <c r="R118" s="8" t="s">
        <v>37</v>
      </c>
      <c r="S118" s="8" t="s">
        <v>38</v>
      </c>
      <c r="T118" s="8"/>
      <c r="U118" s="8" t="s">
        <v>39</v>
      </c>
      <c r="V118" s="8">
        <v>151.6</v>
      </c>
      <c r="W118" s="8">
        <v>65.37</v>
      </c>
      <c r="X118" s="8">
        <v>60.37</v>
      </c>
      <c r="Y118" s="8">
        <v>25.86</v>
      </c>
      <c r="Z118" s="8">
        <v>0</v>
      </c>
    </row>
    <row r="119" spans="1:26" ht="49.2" x14ac:dyDescent="0.3">
      <c r="A119" s="8" t="s">
        <v>27</v>
      </c>
      <c r="B119" s="8" t="s">
        <v>28</v>
      </c>
      <c r="C119" s="8" t="s">
        <v>29</v>
      </c>
      <c r="D119" s="8" t="s">
        <v>52</v>
      </c>
      <c r="E119" s="8" t="s">
        <v>57</v>
      </c>
      <c r="F119" s="8" t="s">
        <v>65</v>
      </c>
      <c r="G119" s="8">
        <v>2023</v>
      </c>
      <c r="H119" s="8" t="str">
        <f>CONCATENATE("34240188101")</f>
        <v>34240188101</v>
      </c>
      <c r="I119" s="8" t="s">
        <v>32</v>
      </c>
      <c r="J119" s="8" t="s">
        <v>33</v>
      </c>
      <c r="K119" s="8" t="str">
        <f t="shared" si="5"/>
        <v/>
      </c>
      <c r="L119" s="8" t="str">
        <f t="shared" si="7"/>
        <v>11 11.2 4b</v>
      </c>
      <c r="M119" s="8" t="str">
        <f>CONCATENATE("PLTFNC55A51H501V")</f>
        <v>PLTFNC55A51H501V</v>
      </c>
      <c r="N119" s="8" t="s">
        <v>202</v>
      </c>
      <c r="O119" s="8" t="s">
        <v>35</v>
      </c>
      <c r="P119" s="9">
        <v>45355</v>
      </c>
      <c r="Q119" s="8" t="s">
        <v>36</v>
      </c>
      <c r="R119" s="8" t="s">
        <v>37</v>
      </c>
      <c r="S119" s="8" t="s">
        <v>38</v>
      </c>
      <c r="T119" s="8"/>
      <c r="U119" s="8" t="s">
        <v>39</v>
      </c>
      <c r="V119" s="8">
        <v>457.06</v>
      </c>
      <c r="W119" s="8">
        <v>197.08</v>
      </c>
      <c r="X119" s="8">
        <v>182</v>
      </c>
      <c r="Y119" s="8">
        <v>77.98</v>
      </c>
      <c r="Z119" s="8">
        <v>0</v>
      </c>
    </row>
    <row r="120" spans="1:26" ht="58.8" x14ac:dyDescent="0.3">
      <c r="A120" s="8" t="s">
        <v>27</v>
      </c>
      <c r="B120" s="8" t="s">
        <v>28</v>
      </c>
      <c r="C120" s="8" t="s">
        <v>29</v>
      </c>
      <c r="D120" s="8" t="s">
        <v>52</v>
      </c>
      <c r="E120" s="8" t="s">
        <v>57</v>
      </c>
      <c r="F120" s="8" t="s">
        <v>65</v>
      </c>
      <c r="G120" s="8">
        <v>2023</v>
      </c>
      <c r="H120" s="8" t="str">
        <f>CONCATENATE("34240194794")</f>
        <v>34240194794</v>
      </c>
      <c r="I120" s="8" t="s">
        <v>32</v>
      </c>
      <c r="J120" s="8" t="s">
        <v>33</v>
      </c>
      <c r="K120" s="8" t="str">
        <f t="shared" si="5"/>
        <v/>
      </c>
      <c r="L120" s="8" t="str">
        <f t="shared" si="7"/>
        <v>11 11.2 4b</v>
      </c>
      <c r="M120" s="8" t="str">
        <f>CONCATENATE("SCNTMR53R59B468R")</f>
        <v>SCNTMR53R59B468R</v>
      </c>
      <c r="N120" s="8" t="s">
        <v>203</v>
      </c>
      <c r="O120" s="8" t="s">
        <v>35</v>
      </c>
      <c r="P120" s="9">
        <v>45355</v>
      </c>
      <c r="Q120" s="8" t="s">
        <v>36</v>
      </c>
      <c r="R120" s="8" t="s">
        <v>37</v>
      </c>
      <c r="S120" s="8" t="s">
        <v>38</v>
      </c>
      <c r="T120" s="8"/>
      <c r="U120" s="8" t="s">
        <v>39</v>
      </c>
      <c r="V120" s="10">
        <v>4110.45</v>
      </c>
      <c r="W120" s="10">
        <v>1772.43</v>
      </c>
      <c r="X120" s="10">
        <v>1636.78</v>
      </c>
      <c r="Y120" s="8">
        <v>701.24</v>
      </c>
      <c r="Z120" s="8">
        <v>0</v>
      </c>
    </row>
    <row r="121" spans="1:26" ht="49.2" x14ac:dyDescent="0.3">
      <c r="A121" s="8" t="s">
        <v>27</v>
      </c>
      <c r="B121" s="8" t="s">
        <v>28</v>
      </c>
      <c r="C121" s="8" t="s">
        <v>29</v>
      </c>
      <c r="D121" s="8" t="s">
        <v>45</v>
      </c>
      <c r="E121" s="8" t="s">
        <v>46</v>
      </c>
      <c r="F121" s="8" t="s">
        <v>47</v>
      </c>
      <c r="G121" s="8">
        <v>2023</v>
      </c>
      <c r="H121" s="8" t="str">
        <f>CONCATENATE("34240218874")</f>
        <v>34240218874</v>
      </c>
      <c r="I121" s="8" t="s">
        <v>32</v>
      </c>
      <c r="J121" s="8" t="s">
        <v>33</v>
      </c>
      <c r="K121" s="8" t="str">
        <f t="shared" si="5"/>
        <v/>
      </c>
      <c r="L121" s="8" t="str">
        <f t="shared" si="7"/>
        <v>11 11.2 4b</v>
      </c>
      <c r="M121" s="8" t="str">
        <f>CONCATENATE("BNDGRL80B04F051G")</f>
        <v>BNDGRL80B04F051G</v>
      </c>
      <c r="N121" s="8" t="s">
        <v>204</v>
      </c>
      <c r="O121" s="8" t="s">
        <v>35</v>
      </c>
      <c r="P121" s="9">
        <v>45355</v>
      </c>
      <c r="Q121" s="8" t="s">
        <v>36</v>
      </c>
      <c r="R121" s="8" t="s">
        <v>37</v>
      </c>
      <c r="S121" s="8" t="s">
        <v>38</v>
      </c>
      <c r="T121" s="8"/>
      <c r="U121" s="8" t="s">
        <v>39</v>
      </c>
      <c r="V121" s="10">
        <v>6025.88</v>
      </c>
      <c r="W121" s="10">
        <v>2598.36</v>
      </c>
      <c r="X121" s="10">
        <v>2399.5100000000002</v>
      </c>
      <c r="Y121" s="10">
        <v>1028.01</v>
      </c>
      <c r="Z121" s="8">
        <v>0</v>
      </c>
    </row>
    <row r="122" spans="1:26" ht="30" x14ac:dyDescent="0.3">
      <c r="A122" s="8" t="s">
        <v>27</v>
      </c>
      <c r="B122" s="8" t="s">
        <v>28</v>
      </c>
      <c r="C122" s="8" t="s">
        <v>29</v>
      </c>
      <c r="D122" s="8" t="s">
        <v>52</v>
      </c>
      <c r="E122" s="8" t="s">
        <v>57</v>
      </c>
      <c r="F122" s="8" t="s">
        <v>65</v>
      </c>
      <c r="G122" s="8">
        <v>2023</v>
      </c>
      <c r="H122" s="8" t="str">
        <f>CONCATENATE("34240097526")</f>
        <v>34240097526</v>
      </c>
      <c r="I122" s="8" t="s">
        <v>32</v>
      </c>
      <c r="J122" s="8" t="s">
        <v>33</v>
      </c>
      <c r="K122" s="8" t="str">
        <f t="shared" si="5"/>
        <v/>
      </c>
      <c r="L122" s="8" t="str">
        <f t="shared" si="7"/>
        <v>11 11.2 4b</v>
      </c>
      <c r="M122" s="8" t="str">
        <f>CONCATENATE("02726330422")</f>
        <v>02726330422</v>
      </c>
      <c r="N122" s="8" t="s">
        <v>205</v>
      </c>
      <c r="O122" s="8" t="s">
        <v>35</v>
      </c>
      <c r="P122" s="9">
        <v>45355</v>
      </c>
      <c r="Q122" s="8" t="s">
        <v>36</v>
      </c>
      <c r="R122" s="8" t="s">
        <v>37</v>
      </c>
      <c r="S122" s="8" t="s">
        <v>38</v>
      </c>
      <c r="T122" s="8"/>
      <c r="U122" s="8" t="s">
        <v>39</v>
      </c>
      <c r="V122" s="10">
        <v>1477.22</v>
      </c>
      <c r="W122" s="8">
        <v>636.98</v>
      </c>
      <c r="X122" s="8">
        <v>588.23</v>
      </c>
      <c r="Y122" s="8">
        <v>252.01</v>
      </c>
      <c r="Z122" s="8">
        <v>0</v>
      </c>
    </row>
    <row r="123" spans="1:26" ht="49.2" x14ac:dyDescent="0.3">
      <c r="A123" s="8" t="s">
        <v>27</v>
      </c>
      <c r="B123" s="8" t="s">
        <v>28</v>
      </c>
      <c r="C123" s="8" t="s">
        <v>29</v>
      </c>
      <c r="D123" s="8" t="s">
        <v>52</v>
      </c>
      <c r="E123" s="8" t="s">
        <v>57</v>
      </c>
      <c r="F123" s="8" t="s">
        <v>65</v>
      </c>
      <c r="G123" s="8">
        <v>2023</v>
      </c>
      <c r="H123" s="8" t="str">
        <f>CONCATENATE("34240113075")</f>
        <v>34240113075</v>
      </c>
      <c r="I123" s="8" t="s">
        <v>32</v>
      </c>
      <c r="J123" s="8" t="s">
        <v>33</v>
      </c>
      <c r="K123" s="8" t="str">
        <f t="shared" si="5"/>
        <v/>
      </c>
      <c r="L123" s="8" t="str">
        <f t="shared" si="7"/>
        <v>11 11.2 4b</v>
      </c>
      <c r="M123" s="8" t="str">
        <f>CONCATENATE("TNFGRL70T14D007X")</f>
        <v>TNFGRL70T14D007X</v>
      </c>
      <c r="N123" s="8" t="s">
        <v>206</v>
      </c>
      <c r="O123" s="8" t="s">
        <v>35</v>
      </c>
      <c r="P123" s="9">
        <v>45355</v>
      </c>
      <c r="Q123" s="8" t="s">
        <v>36</v>
      </c>
      <c r="R123" s="8" t="s">
        <v>37</v>
      </c>
      <c r="S123" s="8" t="s">
        <v>38</v>
      </c>
      <c r="T123" s="8"/>
      <c r="U123" s="8" t="s">
        <v>39</v>
      </c>
      <c r="V123" s="10">
        <v>2507.86</v>
      </c>
      <c r="W123" s="10">
        <v>1081.3900000000001</v>
      </c>
      <c r="X123" s="8">
        <v>998.63</v>
      </c>
      <c r="Y123" s="8">
        <v>427.84</v>
      </c>
      <c r="Z123" s="8">
        <v>0</v>
      </c>
    </row>
    <row r="124" spans="1:26" ht="49.2" x14ac:dyDescent="0.3">
      <c r="A124" s="8" t="s">
        <v>27</v>
      </c>
      <c r="B124" s="8" t="s">
        <v>28</v>
      </c>
      <c r="C124" s="8" t="s">
        <v>29</v>
      </c>
      <c r="D124" s="8" t="s">
        <v>52</v>
      </c>
      <c r="E124" s="8" t="s">
        <v>46</v>
      </c>
      <c r="F124" s="8" t="s">
        <v>126</v>
      </c>
      <c r="G124" s="8">
        <v>2023</v>
      </c>
      <c r="H124" s="8" t="str">
        <f>CONCATENATE("34240379163")</f>
        <v>34240379163</v>
      </c>
      <c r="I124" s="8" t="s">
        <v>32</v>
      </c>
      <c r="J124" s="8" t="s">
        <v>33</v>
      </c>
      <c r="K124" s="8" t="str">
        <f t="shared" si="5"/>
        <v/>
      </c>
      <c r="L124" s="8" t="str">
        <f t="shared" si="7"/>
        <v>11 11.2 4b</v>
      </c>
      <c r="M124" s="8" t="str">
        <f>CONCATENATE("GSPGLN53S55I156D")</f>
        <v>GSPGLN53S55I156D</v>
      </c>
      <c r="N124" s="8" t="s">
        <v>207</v>
      </c>
      <c r="O124" s="8" t="s">
        <v>35</v>
      </c>
      <c r="P124" s="9">
        <v>45355</v>
      </c>
      <c r="Q124" s="8" t="s">
        <v>36</v>
      </c>
      <c r="R124" s="8" t="s">
        <v>37</v>
      </c>
      <c r="S124" s="8" t="s">
        <v>38</v>
      </c>
      <c r="T124" s="8"/>
      <c r="U124" s="8" t="s">
        <v>39</v>
      </c>
      <c r="V124" s="10">
        <v>1565.38</v>
      </c>
      <c r="W124" s="8">
        <v>674.99</v>
      </c>
      <c r="X124" s="8">
        <v>623.33000000000004</v>
      </c>
      <c r="Y124" s="8">
        <v>267.06</v>
      </c>
      <c r="Z124" s="8">
        <v>0</v>
      </c>
    </row>
    <row r="125" spans="1:26" ht="30" x14ac:dyDescent="0.3">
      <c r="A125" s="8" t="s">
        <v>27</v>
      </c>
      <c r="B125" s="8" t="s">
        <v>28</v>
      </c>
      <c r="C125" s="8" t="s">
        <v>29</v>
      </c>
      <c r="D125" s="8" t="s">
        <v>30</v>
      </c>
      <c r="E125" s="8" t="s">
        <v>46</v>
      </c>
      <c r="F125" s="8" t="s">
        <v>104</v>
      </c>
      <c r="G125" s="8">
        <v>2023</v>
      </c>
      <c r="H125" s="8" t="str">
        <f>CONCATENATE("34240425750")</f>
        <v>34240425750</v>
      </c>
      <c r="I125" s="8" t="s">
        <v>32</v>
      </c>
      <c r="J125" s="8" t="s">
        <v>33</v>
      </c>
      <c r="K125" s="8" t="str">
        <f t="shared" si="5"/>
        <v/>
      </c>
      <c r="L125" s="8" t="str">
        <f t="shared" si="7"/>
        <v>11 11.2 4b</v>
      </c>
      <c r="M125" s="8" t="str">
        <f>CONCATENATE("01146920440")</f>
        <v>01146920440</v>
      </c>
      <c r="N125" s="8" t="s">
        <v>208</v>
      </c>
      <c r="O125" s="8" t="s">
        <v>35</v>
      </c>
      <c r="P125" s="9">
        <v>45355</v>
      </c>
      <c r="Q125" s="8" t="s">
        <v>36</v>
      </c>
      <c r="R125" s="8" t="s">
        <v>37</v>
      </c>
      <c r="S125" s="8" t="s">
        <v>38</v>
      </c>
      <c r="T125" s="8"/>
      <c r="U125" s="8" t="s">
        <v>39</v>
      </c>
      <c r="V125" s="10">
        <v>2075.5700000000002</v>
      </c>
      <c r="W125" s="8">
        <v>894.99</v>
      </c>
      <c r="X125" s="8">
        <v>826.49</v>
      </c>
      <c r="Y125" s="8">
        <v>354.09</v>
      </c>
      <c r="Z125" s="8">
        <v>0</v>
      </c>
    </row>
    <row r="126" spans="1:26" ht="49.2" x14ac:dyDescent="0.3">
      <c r="A126" s="8" t="s">
        <v>27</v>
      </c>
      <c r="B126" s="8" t="s">
        <v>28</v>
      </c>
      <c r="C126" s="8" t="s">
        <v>29</v>
      </c>
      <c r="D126" s="8" t="s">
        <v>30</v>
      </c>
      <c r="E126" s="8" t="s">
        <v>46</v>
      </c>
      <c r="F126" s="8" t="s">
        <v>104</v>
      </c>
      <c r="G126" s="8">
        <v>2023</v>
      </c>
      <c r="H126" s="8" t="str">
        <f>CONCATENATE("34210084389")</f>
        <v>34210084389</v>
      </c>
      <c r="I126" s="8" t="s">
        <v>32</v>
      </c>
      <c r="J126" s="8" t="s">
        <v>33</v>
      </c>
      <c r="K126" s="8" t="str">
        <f t="shared" si="5"/>
        <v/>
      </c>
      <c r="L126" s="8" t="str">
        <f>CONCATENATE("13 13.1 4a")</f>
        <v>13 13.1 4a</v>
      </c>
      <c r="M126" s="8" t="str">
        <f>CONCATENATE("RSSMTN62S11D691E")</f>
        <v>RSSMTN62S11D691E</v>
      </c>
      <c r="N126" s="8" t="s">
        <v>209</v>
      </c>
      <c r="O126" s="8" t="s">
        <v>49</v>
      </c>
      <c r="P126" s="9">
        <v>45355</v>
      </c>
      <c r="Q126" s="8" t="s">
        <v>36</v>
      </c>
      <c r="R126" s="8" t="s">
        <v>37</v>
      </c>
      <c r="S126" s="8" t="s">
        <v>38</v>
      </c>
      <c r="T126" s="8"/>
      <c r="U126" s="8" t="s">
        <v>39</v>
      </c>
      <c r="V126" s="10">
        <v>3882.82</v>
      </c>
      <c r="W126" s="10">
        <v>1674.27</v>
      </c>
      <c r="X126" s="10">
        <v>1546.14</v>
      </c>
      <c r="Y126" s="8">
        <v>662.41</v>
      </c>
      <c r="Z126" s="8">
        <v>0</v>
      </c>
    </row>
    <row r="127" spans="1:26" ht="49.2" x14ac:dyDescent="0.3">
      <c r="A127" s="8" t="s">
        <v>27</v>
      </c>
      <c r="B127" s="8" t="s">
        <v>28</v>
      </c>
      <c r="C127" s="8" t="s">
        <v>29</v>
      </c>
      <c r="D127" s="8" t="s">
        <v>41</v>
      </c>
      <c r="E127" s="8" t="s">
        <v>71</v>
      </c>
      <c r="F127" s="8" t="s">
        <v>72</v>
      </c>
      <c r="G127" s="8">
        <v>2023</v>
      </c>
      <c r="H127" s="8" t="str">
        <f>CONCATENATE("34210079306")</f>
        <v>34210079306</v>
      </c>
      <c r="I127" s="8" t="s">
        <v>32</v>
      </c>
      <c r="J127" s="8" t="s">
        <v>33</v>
      </c>
      <c r="K127" s="8" t="str">
        <f t="shared" si="5"/>
        <v/>
      </c>
      <c r="L127" s="8" t="str">
        <f>CONCATENATE("13 13.1 4a")</f>
        <v>13 13.1 4a</v>
      </c>
      <c r="M127" s="8" t="str">
        <f>CONCATENATE("MGALEI29E14E785Y")</f>
        <v>MGALEI29E14E785Y</v>
      </c>
      <c r="N127" s="8" t="s">
        <v>210</v>
      </c>
      <c r="O127" s="8" t="s">
        <v>49</v>
      </c>
      <c r="P127" s="9">
        <v>45355</v>
      </c>
      <c r="Q127" s="8" t="s">
        <v>36</v>
      </c>
      <c r="R127" s="8" t="s">
        <v>37</v>
      </c>
      <c r="S127" s="8" t="s">
        <v>38</v>
      </c>
      <c r="T127" s="8"/>
      <c r="U127" s="8" t="s">
        <v>39</v>
      </c>
      <c r="V127" s="8">
        <v>191.49</v>
      </c>
      <c r="W127" s="8">
        <v>82.57</v>
      </c>
      <c r="X127" s="8">
        <v>76.25</v>
      </c>
      <c r="Y127" s="8">
        <v>32.67</v>
      </c>
      <c r="Z127" s="8">
        <v>0</v>
      </c>
    </row>
    <row r="128" spans="1:26" ht="49.2" x14ac:dyDescent="0.3">
      <c r="A128" s="8" t="s">
        <v>27</v>
      </c>
      <c r="B128" s="8" t="s">
        <v>28</v>
      </c>
      <c r="C128" s="8" t="s">
        <v>29</v>
      </c>
      <c r="D128" s="8" t="s">
        <v>30</v>
      </c>
      <c r="E128" s="8" t="s">
        <v>86</v>
      </c>
      <c r="F128" s="8" t="s">
        <v>99</v>
      </c>
      <c r="G128" s="8">
        <v>2023</v>
      </c>
      <c r="H128" s="8" t="str">
        <f>CONCATENATE("34240611516")</f>
        <v>34240611516</v>
      </c>
      <c r="I128" s="8" t="s">
        <v>32</v>
      </c>
      <c r="J128" s="8" t="s">
        <v>33</v>
      </c>
      <c r="K128" s="8" t="str">
        <f t="shared" si="5"/>
        <v/>
      </c>
      <c r="L128" s="8" t="str">
        <f>CONCATENATE("11 11.2 4b")</f>
        <v>11 11.2 4b</v>
      </c>
      <c r="M128" s="8" t="str">
        <f>CONCATENATE("FRNFBA73C29F509M")</f>
        <v>FRNFBA73C29F509M</v>
      </c>
      <c r="N128" s="8" t="s">
        <v>211</v>
      </c>
      <c r="O128" s="8" t="s">
        <v>35</v>
      </c>
      <c r="P128" s="9">
        <v>45355</v>
      </c>
      <c r="Q128" s="8" t="s">
        <v>36</v>
      </c>
      <c r="R128" s="8" t="s">
        <v>37</v>
      </c>
      <c r="S128" s="8" t="s">
        <v>38</v>
      </c>
      <c r="T128" s="8"/>
      <c r="U128" s="8" t="s">
        <v>39</v>
      </c>
      <c r="V128" s="10">
        <v>3166.2</v>
      </c>
      <c r="W128" s="10">
        <v>1365.27</v>
      </c>
      <c r="X128" s="10">
        <v>1260.78</v>
      </c>
      <c r="Y128" s="8">
        <v>540.15</v>
      </c>
      <c r="Z128" s="8">
        <v>0</v>
      </c>
    </row>
    <row r="129" spans="1:26" ht="49.2" x14ac:dyDescent="0.3">
      <c r="A129" s="8" t="s">
        <v>27</v>
      </c>
      <c r="B129" s="8" t="s">
        <v>28</v>
      </c>
      <c r="C129" s="8" t="s">
        <v>29</v>
      </c>
      <c r="D129" s="8" t="s">
        <v>30</v>
      </c>
      <c r="E129" s="8" t="s">
        <v>86</v>
      </c>
      <c r="F129" s="8" t="s">
        <v>99</v>
      </c>
      <c r="G129" s="8">
        <v>2023</v>
      </c>
      <c r="H129" s="8" t="str">
        <f>CONCATENATE("34210102280")</f>
        <v>34210102280</v>
      </c>
      <c r="I129" s="8" t="s">
        <v>32</v>
      </c>
      <c r="J129" s="8" t="s">
        <v>33</v>
      </c>
      <c r="K129" s="8" t="str">
        <f t="shared" si="5"/>
        <v/>
      </c>
      <c r="L129" s="8" t="str">
        <f>CONCATENATE("13 13.1 4a")</f>
        <v>13 13.1 4a</v>
      </c>
      <c r="M129" s="8" t="str">
        <f>CONCATENATE("FRNFBA73C29F509M")</f>
        <v>FRNFBA73C29F509M</v>
      </c>
      <c r="N129" s="8" t="s">
        <v>211</v>
      </c>
      <c r="O129" s="8" t="s">
        <v>49</v>
      </c>
      <c r="P129" s="9">
        <v>45355</v>
      </c>
      <c r="Q129" s="8" t="s">
        <v>36</v>
      </c>
      <c r="R129" s="8" t="s">
        <v>37</v>
      </c>
      <c r="S129" s="8" t="s">
        <v>38</v>
      </c>
      <c r="T129" s="8"/>
      <c r="U129" s="8" t="s">
        <v>39</v>
      </c>
      <c r="V129" s="10">
        <v>6124.71</v>
      </c>
      <c r="W129" s="10">
        <v>2640.97</v>
      </c>
      <c r="X129" s="10">
        <v>2438.86</v>
      </c>
      <c r="Y129" s="10">
        <v>1044.8800000000001</v>
      </c>
      <c r="Z129" s="8">
        <v>0</v>
      </c>
    </row>
    <row r="130" spans="1:26" ht="30" x14ac:dyDescent="0.3">
      <c r="A130" s="8" t="s">
        <v>27</v>
      </c>
      <c r="B130" s="8" t="s">
        <v>28</v>
      </c>
      <c r="C130" s="8" t="s">
        <v>29</v>
      </c>
      <c r="D130" s="8" t="s">
        <v>41</v>
      </c>
      <c r="E130" s="8" t="s">
        <v>57</v>
      </c>
      <c r="F130" s="8" t="s">
        <v>114</v>
      </c>
      <c r="G130" s="8">
        <v>2023</v>
      </c>
      <c r="H130" s="8" t="str">
        <f>CONCATENATE("34240311208")</f>
        <v>34240311208</v>
      </c>
      <c r="I130" s="8" t="s">
        <v>32</v>
      </c>
      <c r="J130" s="8" t="s">
        <v>33</v>
      </c>
      <c r="K130" s="8" t="str">
        <f t="shared" si="5"/>
        <v/>
      </c>
      <c r="L130" s="8" t="str">
        <f>CONCATENATE("11 11.2 4b")</f>
        <v>11 11.2 4b</v>
      </c>
      <c r="M130" s="8" t="str">
        <f>CONCATENATE("02230300416")</f>
        <v>02230300416</v>
      </c>
      <c r="N130" s="8" t="s">
        <v>212</v>
      </c>
      <c r="O130" s="8" t="s">
        <v>35</v>
      </c>
      <c r="P130" s="9">
        <v>45355</v>
      </c>
      <c r="Q130" s="8" t="s">
        <v>36</v>
      </c>
      <c r="R130" s="8" t="s">
        <v>37</v>
      </c>
      <c r="S130" s="8" t="s">
        <v>38</v>
      </c>
      <c r="T130" s="8"/>
      <c r="U130" s="8" t="s">
        <v>39</v>
      </c>
      <c r="V130" s="8">
        <v>616.88</v>
      </c>
      <c r="W130" s="8">
        <v>266</v>
      </c>
      <c r="X130" s="8">
        <v>245.64</v>
      </c>
      <c r="Y130" s="8">
        <v>105.24</v>
      </c>
      <c r="Z130" s="8">
        <v>0</v>
      </c>
    </row>
    <row r="131" spans="1:26" ht="30" x14ac:dyDescent="0.3">
      <c r="A131" s="8" t="s">
        <v>27</v>
      </c>
      <c r="B131" s="8" t="s">
        <v>28</v>
      </c>
      <c r="C131" s="8" t="s">
        <v>29</v>
      </c>
      <c r="D131" s="8" t="s">
        <v>41</v>
      </c>
      <c r="E131" s="8" t="s">
        <v>57</v>
      </c>
      <c r="F131" s="8" t="s">
        <v>114</v>
      </c>
      <c r="G131" s="8">
        <v>2023</v>
      </c>
      <c r="H131" s="8" t="str">
        <f>CONCATENATE("34210064738")</f>
        <v>34210064738</v>
      </c>
      <c r="I131" s="8" t="s">
        <v>32</v>
      </c>
      <c r="J131" s="8" t="s">
        <v>33</v>
      </c>
      <c r="K131" s="8" t="str">
        <f t="shared" si="5"/>
        <v/>
      </c>
      <c r="L131" s="8" t="str">
        <f>CONCATENATE("13 13.1 4a")</f>
        <v>13 13.1 4a</v>
      </c>
      <c r="M131" s="8" t="str">
        <f>CONCATENATE("02230300416")</f>
        <v>02230300416</v>
      </c>
      <c r="N131" s="8" t="s">
        <v>212</v>
      </c>
      <c r="O131" s="8" t="s">
        <v>49</v>
      </c>
      <c r="P131" s="9">
        <v>45355</v>
      </c>
      <c r="Q131" s="8" t="s">
        <v>36</v>
      </c>
      <c r="R131" s="8" t="s">
        <v>37</v>
      </c>
      <c r="S131" s="8" t="s">
        <v>38</v>
      </c>
      <c r="T131" s="8"/>
      <c r="U131" s="8" t="s">
        <v>39</v>
      </c>
      <c r="V131" s="10">
        <v>2015.3</v>
      </c>
      <c r="W131" s="8">
        <v>869</v>
      </c>
      <c r="X131" s="8">
        <v>802.49</v>
      </c>
      <c r="Y131" s="8">
        <v>343.81</v>
      </c>
      <c r="Z131" s="8">
        <v>0</v>
      </c>
    </row>
    <row r="132" spans="1:26" ht="49.2" x14ac:dyDescent="0.3">
      <c r="A132" s="8" t="s">
        <v>27</v>
      </c>
      <c r="B132" s="8" t="s">
        <v>28</v>
      </c>
      <c r="C132" s="8" t="s">
        <v>29</v>
      </c>
      <c r="D132" s="8" t="s">
        <v>52</v>
      </c>
      <c r="E132" s="8" t="s">
        <v>57</v>
      </c>
      <c r="F132" s="8" t="s">
        <v>65</v>
      </c>
      <c r="G132" s="8">
        <v>2023</v>
      </c>
      <c r="H132" s="8" t="str">
        <f>CONCATENATE("34240163591")</f>
        <v>34240163591</v>
      </c>
      <c r="I132" s="8" t="s">
        <v>32</v>
      </c>
      <c r="J132" s="8" t="s">
        <v>33</v>
      </c>
      <c r="K132" s="8" t="str">
        <f t="shared" ref="K132:K188" si="8">CONCATENATE("")</f>
        <v/>
      </c>
      <c r="L132" s="8" t="str">
        <f>CONCATENATE("11 11.2 4b")</f>
        <v>11 11.2 4b</v>
      </c>
      <c r="M132" s="8" t="str">
        <f>CONCATENATE("RCTFPP86R04C615Q")</f>
        <v>RCTFPP86R04C615Q</v>
      </c>
      <c r="N132" s="8" t="s">
        <v>213</v>
      </c>
      <c r="O132" s="8" t="s">
        <v>35</v>
      </c>
      <c r="P132" s="9">
        <v>45355</v>
      </c>
      <c r="Q132" s="8" t="s">
        <v>36</v>
      </c>
      <c r="R132" s="8" t="s">
        <v>37</v>
      </c>
      <c r="S132" s="8" t="s">
        <v>38</v>
      </c>
      <c r="T132" s="8"/>
      <c r="U132" s="8" t="s">
        <v>39</v>
      </c>
      <c r="V132" s="10">
        <v>10255.450000000001</v>
      </c>
      <c r="W132" s="10">
        <v>4422.1499999999996</v>
      </c>
      <c r="X132" s="10">
        <v>4083.72</v>
      </c>
      <c r="Y132" s="10">
        <v>1749.58</v>
      </c>
      <c r="Z132" s="8">
        <v>0</v>
      </c>
    </row>
    <row r="133" spans="1:26" ht="49.2" x14ac:dyDescent="0.3">
      <c r="A133" s="8" t="s">
        <v>27</v>
      </c>
      <c r="B133" s="8" t="s">
        <v>28</v>
      </c>
      <c r="C133" s="8" t="s">
        <v>29</v>
      </c>
      <c r="D133" s="8" t="s">
        <v>52</v>
      </c>
      <c r="E133" s="8" t="s">
        <v>57</v>
      </c>
      <c r="F133" s="8" t="s">
        <v>65</v>
      </c>
      <c r="G133" s="8">
        <v>2023</v>
      </c>
      <c r="H133" s="8" t="str">
        <f>CONCATENATE("34240143668")</f>
        <v>34240143668</v>
      </c>
      <c r="I133" s="8" t="s">
        <v>32</v>
      </c>
      <c r="J133" s="8" t="s">
        <v>33</v>
      </c>
      <c r="K133" s="8" t="str">
        <f t="shared" si="8"/>
        <v/>
      </c>
      <c r="L133" s="8" t="str">
        <f>CONCATENATE("11 11.2 4b")</f>
        <v>11 11.2 4b</v>
      </c>
      <c r="M133" s="8" t="str">
        <f>CONCATENATE("STRLSN58R19A271I")</f>
        <v>STRLSN58R19A271I</v>
      </c>
      <c r="N133" s="8" t="s">
        <v>214</v>
      </c>
      <c r="O133" s="8" t="s">
        <v>35</v>
      </c>
      <c r="P133" s="9">
        <v>45355</v>
      </c>
      <c r="Q133" s="8" t="s">
        <v>36</v>
      </c>
      <c r="R133" s="8" t="s">
        <v>37</v>
      </c>
      <c r="S133" s="8" t="s">
        <v>38</v>
      </c>
      <c r="T133" s="8"/>
      <c r="U133" s="8" t="s">
        <v>39</v>
      </c>
      <c r="V133" s="10">
        <v>1380.45</v>
      </c>
      <c r="W133" s="8">
        <v>595.25</v>
      </c>
      <c r="X133" s="8">
        <v>549.70000000000005</v>
      </c>
      <c r="Y133" s="8">
        <v>235.5</v>
      </c>
      <c r="Z133" s="8">
        <v>0</v>
      </c>
    </row>
    <row r="134" spans="1:26" ht="30" x14ac:dyDescent="0.3">
      <c r="A134" s="8" t="s">
        <v>27</v>
      </c>
      <c r="B134" s="8" t="s">
        <v>28</v>
      </c>
      <c r="C134" s="8" t="s">
        <v>29</v>
      </c>
      <c r="D134" s="8" t="s">
        <v>45</v>
      </c>
      <c r="E134" s="8" t="s">
        <v>46</v>
      </c>
      <c r="F134" s="8" t="s">
        <v>47</v>
      </c>
      <c r="G134" s="8">
        <v>2023</v>
      </c>
      <c r="H134" s="8" t="str">
        <f>CONCATENATE("34240150622")</f>
        <v>34240150622</v>
      </c>
      <c r="I134" s="8" t="s">
        <v>32</v>
      </c>
      <c r="J134" s="8" t="s">
        <v>33</v>
      </c>
      <c r="K134" s="8" t="str">
        <f t="shared" si="8"/>
        <v/>
      </c>
      <c r="L134" s="8" t="str">
        <f>CONCATENATE("11 11.2 4b")</f>
        <v>11 11.2 4b</v>
      </c>
      <c r="M134" s="8" t="str">
        <f>CONCATENATE("02000670436")</f>
        <v>02000670436</v>
      </c>
      <c r="N134" s="8" t="s">
        <v>215</v>
      </c>
      <c r="O134" s="8" t="s">
        <v>35</v>
      </c>
      <c r="P134" s="9">
        <v>45355</v>
      </c>
      <c r="Q134" s="8" t="s">
        <v>36</v>
      </c>
      <c r="R134" s="8" t="s">
        <v>37</v>
      </c>
      <c r="S134" s="8" t="s">
        <v>38</v>
      </c>
      <c r="T134" s="8"/>
      <c r="U134" s="8" t="s">
        <v>39</v>
      </c>
      <c r="V134" s="8">
        <v>624.17999999999995</v>
      </c>
      <c r="W134" s="8">
        <v>269.14999999999998</v>
      </c>
      <c r="X134" s="8">
        <v>248.55</v>
      </c>
      <c r="Y134" s="8">
        <v>106.48</v>
      </c>
      <c r="Z134" s="8">
        <v>0</v>
      </c>
    </row>
    <row r="135" spans="1:26" ht="49.2" x14ac:dyDescent="0.3">
      <c r="A135" s="8" t="s">
        <v>27</v>
      </c>
      <c r="B135" s="8" t="s">
        <v>28</v>
      </c>
      <c r="C135" s="8" t="s">
        <v>29</v>
      </c>
      <c r="D135" s="8" t="s">
        <v>45</v>
      </c>
      <c r="E135" s="8" t="s">
        <v>42</v>
      </c>
      <c r="F135" s="8" t="s">
        <v>192</v>
      </c>
      <c r="G135" s="8">
        <v>2023</v>
      </c>
      <c r="H135" s="8" t="str">
        <f>CONCATENATE("34240234343")</f>
        <v>34240234343</v>
      </c>
      <c r="I135" s="8" t="s">
        <v>32</v>
      </c>
      <c r="J135" s="8" t="s">
        <v>33</v>
      </c>
      <c r="K135" s="8" t="str">
        <f t="shared" si="8"/>
        <v/>
      </c>
      <c r="L135" s="8" t="str">
        <f>CONCATENATE("11 11.2 4b")</f>
        <v>11 11.2 4b</v>
      </c>
      <c r="M135" s="8" t="str">
        <f>CONCATENATE("PRGPPL74E24I436K")</f>
        <v>PRGPPL74E24I436K</v>
      </c>
      <c r="N135" s="8" t="s">
        <v>216</v>
      </c>
      <c r="O135" s="8" t="s">
        <v>35</v>
      </c>
      <c r="P135" s="9">
        <v>45355</v>
      </c>
      <c r="Q135" s="8" t="s">
        <v>36</v>
      </c>
      <c r="R135" s="8" t="s">
        <v>37</v>
      </c>
      <c r="S135" s="8" t="s">
        <v>38</v>
      </c>
      <c r="T135" s="8"/>
      <c r="U135" s="8" t="s">
        <v>39</v>
      </c>
      <c r="V135" s="8">
        <v>174.25</v>
      </c>
      <c r="W135" s="8">
        <v>75.14</v>
      </c>
      <c r="X135" s="8">
        <v>69.39</v>
      </c>
      <c r="Y135" s="8">
        <v>29.72</v>
      </c>
      <c r="Z135" s="8">
        <v>0</v>
      </c>
    </row>
    <row r="136" spans="1:26" ht="30" x14ac:dyDescent="0.3">
      <c r="A136" s="8" t="s">
        <v>27</v>
      </c>
      <c r="B136" s="8" t="s">
        <v>28</v>
      </c>
      <c r="C136" s="8" t="s">
        <v>29</v>
      </c>
      <c r="D136" s="8" t="s">
        <v>30</v>
      </c>
      <c r="E136" s="8" t="s">
        <v>42</v>
      </c>
      <c r="F136" s="8" t="s">
        <v>192</v>
      </c>
      <c r="G136" s="8">
        <v>2023</v>
      </c>
      <c r="H136" s="8" t="str">
        <f>CONCATENATE("34210093232")</f>
        <v>34210093232</v>
      </c>
      <c r="I136" s="8" t="s">
        <v>32</v>
      </c>
      <c r="J136" s="8" t="s">
        <v>33</v>
      </c>
      <c r="K136" s="8" t="str">
        <f t="shared" si="8"/>
        <v/>
      </c>
      <c r="L136" s="8" t="str">
        <f>CONCATENATE("13 13.1 4a")</f>
        <v>13 13.1 4a</v>
      </c>
      <c r="M136" s="8" t="str">
        <f>CONCATENATE("01924080441")</f>
        <v>01924080441</v>
      </c>
      <c r="N136" s="8" t="s">
        <v>217</v>
      </c>
      <c r="O136" s="8" t="s">
        <v>49</v>
      </c>
      <c r="P136" s="9">
        <v>45355</v>
      </c>
      <c r="Q136" s="8" t="s">
        <v>36</v>
      </c>
      <c r="R136" s="8" t="s">
        <v>37</v>
      </c>
      <c r="S136" s="8" t="s">
        <v>38</v>
      </c>
      <c r="T136" s="8"/>
      <c r="U136" s="8" t="s">
        <v>39</v>
      </c>
      <c r="V136" s="10">
        <v>5625.7</v>
      </c>
      <c r="W136" s="10">
        <v>2425.8000000000002</v>
      </c>
      <c r="X136" s="10">
        <v>2240.15</v>
      </c>
      <c r="Y136" s="8">
        <v>959.75</v>
      </c>
      <c r="Z136" s="8">
        <v>0</v>
      </c>
    </row>
    <row r="137" spans="1:26" ht="49.2" x14ac:dyDescent="0.3">
      <c r="A137" s="8" t="s">
        <v>27</v>
      </c>
      <c r="B137" s="8" t="s">
        <v>28</v>
      </c>
      <c r="C137" s="8" t="s">
        <v>29</v>
      </c>
      <c r="D137" s="8" t="s">
        <v>41</v>
      </c>
      <c r="E137" s="8" t="s">
        <v>71</v>
      </c>
      <c r="F137" s="8" t="s">
        <v>142</v>
      </c>
      <c r="G137" s="8">
        <v>2023</v>
      </c>
      <c r="H137" s="8" t="str">
        <f>CONCATENATE("34210039268")</f>
        <v>34210039268</v>
      </c>
      <c r="I137" s="8" t="s">
        <v>32</v>
      </c>
      <c r="J137" s="8" t="s">
        <v>33</v>
      </c>
      <c r="K137" s="8" t="str">
        <f t="shared" si="8"/>
        <v/>
      </c>
      <c r="L137" s="8" t="str">
        <f>CONCATENATE("13 13.1 4a")</f>
        <v>13 13.1 4a</v>
      </c>
      <c r="M137" s="8" t="str">
        <f>CONCATENATE("SCNBRN53P23D808V")</f>
        <v>SCNBRN53P23D808V</v>
      </c>
      <c r="N137" s="8" t="s">
        <v>218</v>
      </c>
      <c r="O137" s="8" t="s">
        <v>49</v>
      </c>
      <c r="P137" s="9">
        <v>45355</v>
      </c>
      <c r="Q137" s="8" t="s">
        <v>36</v>
      </c>
      <c r="R137" s="8" t="s">
        <v>37</v>
      </c>
      <c r="S137" s="8" t="s">
        <v>38</v>
      </c>
      <c r="T137" s="8"/>
      <c r="U137" s="8" t="s">
        <v>39</v>
      </c>
      <c r="V137" s="10">
        <v>3255.27</v>
      </c>
      <c r="W137" s="10">
        <v>1403.67</v>
      </c>
      <c r="X137" s="10">
        <v>1296.25</v>
      </c>
      <c r="Y137" s="8">
        <v>555.35</v>
      </c>
      <c r="Z137" s="8">
        <v>0</v>
      </c>
    </row>
    <row r="138" spans="1:26" ht="30" x14ac:dyDescent="0.3">
      <c r="A138" s="8" t="s">
        <v>27</v>
      </c>
      <c r="B138" s="8" t="s">
        <v>28</v>
      </c>
      <c r="C138" s="8" t="s">
        <v>29</v>
      </c>
      <c r="D138" s="8" t="s">
        <v>52</v>
      </c>
      <c r="E138" s="8" t="s">
        <v>86</v>
      </c>
      <c r="F138" s="8" t="s">
        <v>171</v>
      </c>
      <c r="G138" s="8">
        <v>2023</v>
      </c>
      <c r="H138" s="8" t="str">
        <f>CONCATENATE("34240583863")</f>
        <v>34240583863</v>
      </c>
      <c r="I138" s="8" t="s">
        <v>32</v>
      </c>
      <c r="J138" s="8" t="s">
        <v>33</v>
      </c>
      <c r="K138" s="8" t="str">
        <f t="shared" si="8"/>
        <v/>
      </c>
      <c r="L138" s="8" t="str">
        <f>CONCATENATE("11 11.2 4b")</f>
        <v>11 11.2 4b</v>
      </c>
      <c r="M138" s="8" t="str">
        <f>CONCATENATE("02756900425")</f>
        <v>02756900425</v>
      </c>
      <c r="N138" s="8" t="s">
        <v>219</v>
      </c>
      <c r="O138" s="8" t="s">
        <v>35</v>
      </c>
      <c r="P138" s="9">
        <v>45355</v>
      </c>
      <c r="Q138" s="8" t="s">
        <v>36</v>
      </c>
      <c r="R138" s="8" t="s">
        <v>37</v>
      </c>
      <c r="S138" s="8" t="s">
        <v>38</v>
      </c>
      <c r="T138" s="8"/>
      <c r="U138" s="8" t="s">
        <v>39</v>
      </c>
      <c r="V138" s="8">
        <v>32.07</v>
      </c>
      <c r="W138" s="8">
        <v>13.83</v>
      </c>
      <c r="X138" s="8">
        <v>12.77</v>
      </c>
      <c r="Y138" s="8">
        <v>5.47</v>
      </c>
      <c r="Z138" s="8">
        <v>0</v>
      </c>
    </row>
    <row r="139" spans="1:26" ht="49.2" x14ac:dyDescent="0.3">
      <c r="A139" s="8" t="s">
        <v>27</v>
      </c>
      <c r="B139" s="8" t="s">
        <v>28</v>
      </c>
      <c r="C139" s="8" t="s">
        <v>29</v>
      </c>
      <c r="D139" s="8" t="s">
        <v>45</v>
      </c>
      <c r="E139" s="8" t="s">
        <v>42</v>
      </c>
      <c r="F139" s="8" t="s">
        <v>192</v>
      </c>
      <c r="G139" s="8">
        <v>2022</v>
      </c>
      <c r="H139" s="8" t="str">
        <f>CONCATENATE("24240999862")</f>
        <v>24240999862</v>
      </c>
      <c r="I139" s="8" t="s">
        <v>120</v>
      </c>
      <c r="J139" s="8" t="s">
        <v>33</v>
      </c>
      <c r="K139" s="8" t="str">
        <f t="shared" si="8"/>
        <v/>
      </c>
      <c r="L139" s="8" t="str">
        <f>CONCATENATE("11 11.2 4b")</f>
        <v>11 11.2 4b</v>
      </c>
      <c r="M139" s="8" t="str">
        <f>CONCATENATE("BNFMRC79L25E783Z")</f>
        <v>BNFMRC79L25E783Z</v>
      </c>
      <c r="N139" s="8" t="s">
        <v>220</v>
      </c>
      <c r="O139" s="8" t="s">
        <v>35</v>
      </c>
      <c r="P139" s="9">
        <v>45355</v>
      </c>
      <c r="Q139" s="8" t="s">
        <v>36</v>
      </c>
      <c r="R139" s="8" t="s">
        <v>37</v>
      </c>
      <c r="S139" s="8" t="s">
        <v>38</v>
      </c>
      <c r="T139" s="8"/>
      <c r="U139" s="8" t="s">
        <v>39</v>
      </c>
      <c r="V139" s="8">
        <v>958.87</v>
      </c>
      <c r="W139" s="8">
        <v>413.46</v>
      </c>
      <c r="X139" s="8">
        <v>381.82</v>
      </c>
      <c r="Y139" s="8">
        <v>163.59</v>
      </c>
      <c r="Z139" s="8">
        <v>0</v>
      </c>
    </row>
    <row r="140" spans="1:26" ht="30" x14ac:dyDescent="0.3">
      <c r="A140" s="8" t="s">
        <v>27</v>
      </c>
      <c r="B140" s="8" t="s">
        <v>28</v>
      </c>
      <c r="C140" s="8" t="s">
        <v>29</v>
      </c>
      <c r="D140" s="8" t="s">
        <v>52</v>
      </c>
      <c r="E140" s="8" t="s">
        <v>71</v>
      </c>
      <c r="F140" s="8" t="s">
        <v>95</v>
      </c>
      <c r="G140" s="8">
        <v>2023</v>
      </c>
      <c r="H140" s="8" t="str">
        <f>CONCATENATE("34210025309")</f>
        <v>34210025309</v>
      </c>
      <c r="I140" s="8" t="s">
        <v>32</v>
      </c>
      <c r="J140" s="8" t="s">
        <v>33</v>
      </c>
      <c r="K140" s="8" t="str">
        <f t="shared" si="8"/>
        <v/>
      </c>
      <c r="L140" s="8" t="str">
        <f>CONCATENATE("13 13.1 4a")</f>
        <v>13 13.1 4a</v>
      </c>
      <c r="M140" s="8" t="str">
        <f>CONCATENATE("02870340425")</f>
        <v>02870340425</v>
      </c>
      <c r="N140" s="8" t="s">
        <v>221</v>
      </c>
      <c r="O140" s="8" t="s">
        <v>49</v>
      </c>
      <c r="P140" s="9">
        <v>45355</v>
      </c>
      <c r="Q140" s="8" t="s">
        <v>36</v>
      </c>
      <c r="R140" s="8" t="s">
        <v>37</v>
      </c>
      <c r="S140" s="8" t="s">
        <v>38</v>
      </c>
      <c r="T140" s="8"/>
      <c r="U140" s="8" t="s">
        <v>39</v>
      </c>
      <c r="V140" s="8">
        <v>594.29</v>
      </c>
      <c r="W140" s="8">
        <v>256.26</v>
      </c>
      <c r="X140" s="8">
        <v>236.65</v>
      </c>
      <c r="Y140" s="8">
        <v>101.38</v>
      </c>
      <c r="Z140" s="8">
        <v>0</v>
      </c>
    </row>
    <row r="141" spans="1:26" ht="49.2" x14ac:dyDescent="0.3">
      <c r="A141" s="8" t="s">
        <v>27</v>
      </c>
      <c r="B141" s="8" t="s">
        <v>28</v>
      </c>
      <c r="C141" s="8" t="s">
        <v>29</v>
      </c>
      <c r="D141" s="8" t="s">
        <v>52</v>
      </c>
      <c r="E141" s="8" t="s">
        <v>71</v>
      </c>
      <c r="F141" s="8" t="s">
        <v>95</v>
      </c>
      <c r="G141" s="8">
        <v>2023</v>
      </c>
      <c r="H141" s="8" t="str">
        <f>CONCATENATE("34210030267")</f>
        <v>34210030267</v>
      </c>
      <c r="I141" s="8" t="s">
        <v>32</v>
      </c>
      <c r="J141" s="8" t="s">
        <v>33</v>
      </c>
      <c r="K141" s="8" t="str">
        <f t="shared" si="8"/>
        <v/>
      </c>
      <c r="L141" s="8" t="str">
        <f>CONCATENATE("13 13.1 4a")</f>
        <v>13 13.1 4a</v>
      </c>
      <c r="M141" s="8" t="str">
        <f>CONCATENATE("RSOPRZ62C54H501L")</f>
        <v>RSOPRZ62C54H501L</v>
      </c>
      <c r="N141" s="8" t="s">
        <v>222</v>
      </c>
      <c r="O141" s="8" t="s">
        <v>49</v>
      </c>
      <c r="P141" s="9">
        <v>45355</v>
      </c>
      <c r="Q141" s="8" t="s">
        <v>36</v>
      </c>
      <c r="R141" s="8" t="s">
        <v>37</v>
      </c>
      <c r="S141" s="8" t="s">
        <v>38</v>
      </c>
      <c r="T141" s="8"/>
      <c r="U141" s="8" t="s">
        <v>39</v>
      </c>
      <c r="V141" s="10">
        <v>1509.52</v>
      </c>
      <c r="W141" s="8">
        <v>650.91</v>
      </c>
      <c r="X141" s="8">
        <v>601.09</v>
      </c>
      <c r="Y141" s="8">
        <v>257.52</v>
      </c>
      <c r="Z141" s="8">
        <v>0</v>
      </c>
    </row>
    <row r="142" spans="1:26" ht="49.2" x14ac:dyDescent="0.3">
      <c r="A142" s="8" t="s">
        <v>27</v>
      </c>
      <c r="B142" s="8" t="s">
        <v>28</v>
      </c>
      <c r="C142" s="8" t="s">
        <v>29</v>
      </c>
      <c r="D142" s="8" t="s">
        <v>41</v>
      </c>
      <c r="E142" s="8" t="s">
        <v>46</v>
      </c>
      <c r="F142" s="8" t="s">
        <v>223</v>
      </c>
      <c r="G142" s="8">
        <v>2023</v>
      </c>
      <c r="H142" s="8" t="str">
        <f>CONCATENATE("34240350982")</f>
        <v>34240350982</v>
      </c>
      <c r="I142" s="8" t="s">
        <v>32</v>
      </c>
      <c r="J142" s="8" t="s">
        <v>33</v>
      </c>
      <c r="K142" s="8" t="str">
        <f t="shared" si="8"/>
        <v/>
      </c>
      <c r="L142" s="8" t="str">
        <f>CONCATENATE("11 11.2 4b")</f>
        <v>11 11.2 4b</v>
      </c>
      <c r="M142" s="8" t="str">
        <f>CONCATENATE("MSNPLA75R18G453W")</f>
        <v>MSNPLA75R18G453W</v>
      </c>
      <c r="N142" s="8" t="s">
        <v>224</v>
      </c>
      <c r="O142" s="8" t="s">
        <v>35</v>
      </c>
      <c r="P142" s="9">
        <v>45355</v>
      </c>
      <c r="Q142" s="8" t="s">
        <v>36</v>
      </c>
      <c r="R142" s="8" t="s">
        <v>37</v>
      </c>
      <c r="S142" s="8" t="s">
        <v>38</v>
      </c>
      <c r="T142" s="8"/>
      <c r="U142" s="8" t="s">
        <v>39</v>
      </c>
      <c r="V142" s="10">
        <v>8670.5400000000009</v>
      </c>
      <c r="W142" s="10">
        <v>3738.74</v>
      </c>
      <c r="X142" s="10">
        <v>3452.61</v>
      </c>
      <c r="Y142" s="10">
        <v>1479.19</v>
      </c>
      <c r="Z142" s="8">
        <v>0</v>
      </c>
    </row>
    <row r="143" spans="1:26" ht="49.2" x14ac:dyDescent="0.3">
      <c r="A143" s="8" t="s">
        <v>27</v>
      </c>
      <c r="B143" s="8" t="s">
        <v>28</v>
      </c>
      <c r="C143" s="8" t="s">
        <v>29</v>
      </c>
      <c r="D143" s="8" t="s">
        <v>41</v>
      </c>
      <c r="E143" s="8" t="s">
        <v>71</v>
      </c>
      <c r="F143" s="8" t="s">
        <v>72</v>
      </c>
      <c r="G143" s="8">
        <v>2023</v>
      </c>
      <c r="H143" s="8" t="str">
        <f>CONCATENATE("34240191543")</f>
        <v>34240191543</v>
      </c>
      <c r="I143" s="8" t="s">
        <v>32</v>
      </c>
      <c r="J143" s="8" t="s">
        <v>33</v>
      </c>
      <c r="K143" s="8" t="str">
        <f t="shared" si="8"/>
        <v/>
      </c>
      <c r="L143" s="8" t="str">
        <f>CONCATENATE("11 11.2 4b")</f>
        <v>11 11.2 4b</v>
      </c>
      <c r="M143" s="8" t="str">
        <f>CONCATENATE("CLSTNZ57D10F467C")</f>
        <v>CLSTNZ57D10F467C</v>
      </c>
      <c r="N143" s="8" t="s">
        <v>225</v>
      </c>
      <c r="O143" s="8" t="s">
        <v>35</v>
      </c>
      <c r="P143" s="9">
        <v>45355</v>
      </c>
      <c r="Q143" s="8" t="s">
        <v>36</v>
      </c>
      <c r="R143" s="8" t="s">
        <v>37</v>
      </c>
      <c r="S143" s="8" t="s">
        <v>38</v>
      </c>
      <c r="T143" s="8"/>
      <c r="U143" s="8" t="s">
        <v>39</v>
      </c>
      <c r="V143" s="10">
        <v>1207.18</v>
      </c>
      <c r="W143" s="8">
        <v>520.54</v>
      </c>
      <c r="X143" s="8">
        <v>480.7</v>
      </c>
      <c r="Y143" s="8">
        <v>205.94</v>
      </c>
      <c r="Z143" s="8">
        <v>0</v>
      </c>
    </row>
    <row r="144" spans="1:26" ht="30" x14ac:dyDescent="0.3">
      <c r="A144" s="8" t="s">
        <v>27</v>
      </c>
      <c r="B144" s="8" t="s">
        <v>28</v>
      </c>
      <c r="C144" s="8" t="s">
        <v>29</v>
      </c>
      <c r="D144" s="8" t="s">
        <v>52</v>
      </c>
      <c r="E144" s="8" t="s">
        <v>57</v>
      </c>
      <c r="F144" s="8" t="s">
        <v>65</v>
      </c>
      <c r="G144" s="8">
        <v>2023</v>
      </c>
      <c r="H144" s="8" t="str">
        <f>CONCATENATE("34240183326")</f>
        <v>34240183326</v>
      </c>
      <c r="I144" s="8" t="s">
        <v>32</v>
      </c>
      <c r="J144" s="8" t="s">
        <v>33</v>
      </c>
      <c r="K144" s="8" t="str">
        <f t="shared" si="8"/>
        <v/>
      </c>
      <c r="L144" s="8" t="str">
        <f>CONCATENATE("11 11.2 4b")</f>
        <v>11 11.2 4b</v>
      </c>
      <c r="M144" s="8" t="str">
        <f>CONCATENATE("02277590424")</f>
        <v>02277590424</v>
      </c>
      <c r="N144" s="8" t="s">
        <v>226</v>
      </c>
      <c r="O144" s="8" t="s">
        <v>35</v>
      </c>
      <c r="P144" s="9">
        <v>45355</v>
      </c>
      <c r="Q144" s="8" t="s">
        <v>36</v>
      </c>
      <c r="R144" s="8" t="s">
        <v>37</v>
      </c>
      <c r="S144" s="8" t="s">
        <v>38</v>
      </c>
      <c r="T144" s="8"/>
      <c r="U144" s="8" t="s">
        <v>39</v>
      </c>
      <c r="V144" s="10">
        <v>2232.86</v>
      </c>
      <c r="W144" s="8">
        <v>962.81</v>
      </c>
      <c r="X144" s="8">
        <v>889.12</v>
      </c>
      <c r="Y144" s="8">
        <v>380.93</v>
      </c>
      <c r="Z144" s="8">
        <v>0</v>
      </c>
    </row>
    <row r="145" spans="1:26" ht="49.2" x14ac:dyDescent="0.3">
      <c r="A145" s="8" t="s">
        <v>27</v>
      </c>
      <c r="B145" s="8" t="s">
        <v>28</v>
      </c>
      <c r="C145" s="8" t="s">
        <v>29</v>
      </c>
      <c r="D145" s="8" t="s">
        <v>41</v>
      </c>
      <c r="E145" s="8" t="s">
        <v>46</v>
      </c>
      <c r="F145" s="8" t="s">
        <v>80</v>
      </c>
      <c r="G145" s="8">
        <v>2023</v>
      </c>
      <c r="H145" s="8" t="str">
        <f>CONCATENATE("34210079074")</f>
        <v>34210079074</v>
      </c>
      <c r="I145" s="8" t="s">
        <v>32</v>
      </c>
      <c r="J145" s="8" t="s">
        <v>33</v>
      </c>
      <c r="K145" s="8" t="str">
        <f t="shared" si="8"/>
        <v/>
      </c>
      <c r="L145" s="8" t="str">
        <f>CONCATENATE("13 13.1 4a")</f>
        <v>13 13.1 4a</v>
      </c>
      <c r="M145" s="8" t="str">
        <f>CONCATENATE("BCCFRZ62A30A327P")</f>
        <v>BCCFRZ62A30A327P</v>
      </c>
      <c r="N145" s="8" t="s">
        <v>227</v>
      </c>
      <c r="O145" s="8" t="s">
        <v>49</v>
      </c>
      <c r="P145" s="9">
        <v>45355</v>
      </c>
      <c r="Q145" s="8" t="s">
        <v>36</v>
      </c>
      <c r="R145" s="8" t="s">
        <v>37</v>
      </c>
      <c r="S145" s="8" t="s">
        <v>38</v>
      </c>
      <c r="T145" s="8"/>
      <c r="U145" s="8" t="s">
        <v>39</v>
      </c>
      <c r="V145" s="10">
        <v>3448.68</v>
      </c>
      <c r="W145" s="10">
        <v>1487.07</v>
      </c>
      <c r="X145" s="10">
        <v>1373.26</v>
      </c>
      <c r="Y145" s="8">
        <v>588.35</v>
      </c>
      <c r="Z145" s="8">
        <v>0</v>
      </c>
    </row>
    <row r="146" spans="1:26" ht="30" x14ac:dyDescent="0.3">
      <c r="A146" s="8" t="s">
        <v>27</v>
      </c>
      <c r="B146" s="8" t="s">
        <v>28</v>
      </c>
      <c r="C146" s="8" t="s">
        <v>29</v>
      </c>
      <c r="D146" s="8" t="s">
        <v>41</v>
      </c>
      <c r="E146" s="8" t="s">
        <v>42</v>
      </c>
      <c r="F146" s="8" t="s">
        <v>43</v>
      </c>
      <c r="G146" s="8">
        <v>2023</v>
      </c>
      <c r="H146" s="8" t="str">
        <f>CONCATENATE("34240445170")</f>
        <v>34240445170</v>
      </c>
      <c r="I146" s="8" t="s">
        <v>32</v>
      </c>
      <c r="J146" s="8" t="s">
        <v>33</v>
      </c>
      <c r="K146" s="8" t="str">
        <f t="shared" si="8"/>
        <v/>
      </c>
      <c r="L146" s="8" t="str">
        <f>CONCATENATE("11 11.2 4b")</f>
        <v>11 11.2 4b</v>
      </c>
      <c r="M146" s="8" t="str">
        <f>CONCATENATE("02398380416")</f>
        <v>02398380416</v>
      </c>
      <c r="N146" s="8" t="s">
        <v>228</v>
      </c>
      <c r="O146" s="8" t="s">
        <v>35</v>
      </c>
      <c r="P146" s="9">
        <v>45355</v>
      </c>
      <c r="Q146" s="8" t="s">
        <v>36</v>
      </c>
      <c r="R146" s="8" t="s">
        <v>37</v>
      </c>
      <c r="S146" s="8" t="s">
        <v>38</v>
      </c>
      <c r="T146" s="8"/>
      <c r="U146" s="8" t="s">
        <v>39</v>
      </c>
      <c r="V146" s="10">
        <v>1476.45</v>
      </c>
      <c r="W146" s="8">
        <v>636.65</v>
      </c>
      <c r="X146" s="8">
        <v>587.91999999999996</v>
      </c>
      <c r="Y146" s="8">
        <v>251.88</v>
      </c>
      <c r="Z146" s="8">
        <v>0</v>
      </c>
    </row>
    <row r="147" spans="1:26" ht="30" x14ac:dyDescent="0.3">
      <c r="A147" s="8" t="s">
        <v>27</v>
      </c>
      <c r="B147" s="8" t="s">
        <v>28</v>
      </c>
      <c r="C147" s="8" t="s">
        <v>29</v>
      </c>
      <c r="D147" s="8" t="s">
        <v>41</v>
      </c>
      <c r="E147" s="8" t="s">
        <v>46</v>
      </c>
      <c r="F147" s="8" t="s">
        <v>92</v>
      </c>
      <c r="G147" s="8">
        <v>2023</v>
      </c>
      <c r="H147" s="8" t="str">
        <f>CONCATENATE("34240525658")</f>
        <v>34240525658</v>
      </c>
      <c r="I147" s="8" t="s">
        <v>32</v>
      </c>
      <c r="J147" s="8" t="s">
        <v>33</v>
      </c>
      <c r="K147" s="8" t="str">
        <f t="shared" si="8"/>
        <v/>
      </c>
      <c r="L147" s="8" t="str">
        <f>CONCATENATE("11 11.2 4b")</f>
        <v>11 11.2 4b</v>
      </c>
      <c r="M147" s="8" t="str">
        <f>CONCATENATE("01213280413")</f>
        <v>01213280413</v>
      </c>
      <c r="N147" s="8" t="s">
        <v>229</v>
      </c>
      <c r="O147" s="8" t="s">
        <v>35</v>
      </c>
      <c r="P147" s="9">
        <v>45355</v>
      </c>
      <c r="Q147" s="8" t="s">
        <v>36</v>
      </c>
      <c r="R147" s="8" t="s">
        <v>37</v>
      </c>
      <c r="S147" s="8" t="s">
        <v>38</v>
      </c>
      <c r="T147" s="8"/>
      <c r="U147" s="8" t="s">
        <v>39</v>
      </c>
      <c r="V147" s="10">
        <v>4904.1499999999996</v>
      </c>
      <c r="W147" s="10">
        <v>2114.67</v>
      </c>
      <c r="X147" s="10">
        <v>1952.83</v>
      </c>
      <c r="Y147" s="8">
        <v>836.65</v>
      </c>
      <c r="Z147" s="8">
        <v>0</v>
      </c>
    </row>
    <row r="148" spans="1:26" ht="30" x14ac:dyDescent="0.3">
      <c r="A148" s="8" t="s">
        <v>27</v>
      </c>
      <c r="B148" s="8" t="s">
        <v>28</v>
      </c>
      <c r="C148" s="8" t="s">
        <v>29</v>
      </c>
      <c r="D148" s="8" t="s">
        <v>41</v>
      </c>
      <c r="E148" s="8" t="s">
        <v>46</v>
      </c>
      <c r="F148" s="8" t="s">
        <v>92</v>
      </c>
      <c r="G148" s="8">
        <v>2023</v>
      </c>
      <c r="H148" s="8" t="str">
        <f>CONCATENATE("34240275593")</f>
        <v>34240275593</v>
      </c>
      <c r="I148" s="8" t="s">
        <v>32</v>
      </c>
      <c r="J148" s="8" t="s">
        <v>33</v>
      </c>
      <c r="K148" s="8" t="str">
        <f t="shared" si="8"/>
        <v/>
      </c>
      <c r="L148" s="8" t="str">
        <f>CONCATENATE("11 11.2 4b")</f>
        <v>11 11.2 4b</v>
      </c>
      <c r="M148" s="8" t="str">
        <f>CONCATENATE("02611800414")</f>
        <v>02611800414</v>
      </c>
      <c r="N148" s="8" t="s">
        <v>230</v>
      </c>
      <c r="O148" s="8" t="s">
        <v>35</v>
      </c>
      <c r="P148" s="9">
        <v>45355</v>
      </c>
      <c r="Q148" s="8" t="s">
        <v>36</v>
      </c>
      <c r="R148" s="8" t="s">
        <v>37</v>
      </c>
      <c r="S148" s="8" t="s">
        <v>38</v>
      </c>
      <c r="T148" s="8"/>
      <c r="U148" s="8" t="s">
        <v>39</v>
      </c>
      <c r="V148" s="8">
        <v>681.53</v>
      </c>
      <c r="W148" s="8">
        <v>293.88</v>
      </c>
      <c r="X148" s="8">
        <v>271.39</v>
      </c>
      <c r="Y148" s="8">
        <v>116.26</v>
      </c>
      <c r="Z148" s="8">
        <v>0</v>
      </c>
    </row>
    <row r="149" spans="1:26" ht="30" x14ac:dyDescent="0.3">
      <c r="A149" s="8" t="s">
        <v>27</v>
      </c>
      <c r="B149" s="8" t="s">
        <v>28</v>
      </c>
      <c r="C149" s="8" t="s">
        <v>29</v>
      </c>
      <c r="D149" s="8" t="s">
        <v>41</v>
      </c>
      <c r="E149" s="8" t="s">
        <v>46</v>
      </c>
      <c r="F149" s="8" t="s">
        <v>92</v>
      </c>
      <c r="G149" s="8">
        <v>2023</v>
      </c>
      <c r="H149" s="8" t="str">
        <f>CONCATENATE("34210057674")</f>
        <v>34210057674</v>
      </c>
      <c r="I149" s="8" t="s">
        <v>32</v>
      </c>
      <c r="J149" s="8" t="s">
        <v>33</v>
      </c>
      <c r="K149" s="8" t="str">
        <f t="shared" si="8"/>
        <v/>
      </c>
      <c r="L149" s="8" t="str">
        <f>CONCATENATE("13 13.1 4a")</f>
        <v>13 13.1 4a</v>
      </c>
      <c r="M149" s="8" t="str">
        <f>CONCATENATE("02611800414")</f>
        <v>02611800414</v>
      </c>
      <c r="N149" s="8" t="s">
        <v>230</v>
      </c>
      <c r="O149" s="8" t="s">
        <v>49</v>
      </c>
      <c r="P149" s="9">
        <v>45355</v>
      </c>
      <c r="Q149" s="8" t="s">
        <v>36</v>
      </c>
      <c r="R149" s="8" t="s">
        <v>37</v>
      </c>
      <c r="S149" s="8" t="s">
        <v>38</v>
      </c>
      <c r="T149" s="8"/>
      <c r="U149" s="8" t="s">
        <v>39</v>
      </c>
      <c r="V149" s="10">
        <v>1360.5</v>
      </c>
      <c r="W149" s="8">
        <v>586.65</v>
      </c>
      <c r="X149" s="8">
        <v>541.75</v>
      </c>
      <c r="Y149" s="8">
        <v>232.1</v>
      </c>
      <c r="Z149" s="8">
        <v>0</v>
      </c>
    </row>
    <row r="150" spans="1:26" ht="49.2" x14ac:dyDescent="0.3">
      <c r="A150" s="8" t="s">
        <v>27</v>
      </c>
      <c r="B150" s="8" t="s">
        <v>28</v>
      </c>
      <c r="C150" s="8" t="s">
        <v>29</v>
      </c>
      <c r="D150" s="8" t="s">
        <v>41</v>
      </c>
      <c r="E150" s="8" t="s">
        <v>71</v>
      </c>
      <c r="F150" s="8" t="s">
        <v>142</v>
      </c>
      <c r="G150" s="8">
        <v>2023</v>
      </c>
      <c r="H150" s="8" t="str">
        <f>CONCATENATE("34240173319")</f>
        <v>34240173319</v>
      </c>
      <c r="I150" s="8" t="s">
        <v>32</v>
      </c>
      <c r="J150" s="8" t="s">
        <v>33</v>
      </c>
      <c r="K150" s="8" t="str">
        <f t="shared" si="8"/>
        <v/>
      </c>
      <c r="L150" s="8" t="str">
        <f t="shared" ref="L150:L155" si="9">CONCATENATE("11 11.2 4b")</f>
        <v>11 11.2 4b</v>
      </c>
      <c r="M150" s="8" t="str">
        <f>CONCATENATE("BRNLML56P56C523N")</f>
        <v>BRNLML56P56C523N</v>
      </c>
      <c r="N150" s="8" t="s">
        <v>231</v>
      </c>
      <c r="O150" s="8" t="s">
        <v>35</v>
      </c>
      <c r="P150" s="9">
        <v>45355</v>
      </c>
      <c r="Q150" s="8" t="s">
        <v>36</v>
      </c>
      <c r="R150" s="8" t="s">
        <v>37</v>
      </c>
      <c r="S150" s="8" t="s">
        <v>38</v>
      </c>
      <c r="T150" s="8"/>
      <c r="U150" s="8" t="s">
        <v>39</v>
      </c>
      <c r="V150" s="8">
        <v>412.82</v>
      </c>
      <c r="W150" s="8">
        <v>178.01</v>
      </c>
      <c r="X150" s="8">
        <v>164.38</v>
      </c>
      <c r="Y150" s="8">
        <v>70.430000000000007</v>
      </c>
      <c r="Z150" s="8">
        <v>0</v>
      </c>
    </row>
    <row r="151" spans="1:26" ht="58.8" x14ac:dyDescent="0.3">
      <c r="A151" s="8" t="s">
        <v>27</v>
      </c>
      <c r="B151" s="8" t="s">
        <v>28</v>
      </c>
      <c r="C151" s="8" t="s">
        <v>29</v>
      </c>
      <c r="D151" s="8" t="s">
        <v>30</v>
      </c>
      <c r="E151" s="8" t="s">
        <v>31</v>
      </c>
      <c r="F151" s="8" t="s">
        <v>31</v>
      </c>
      <c r="G151" s="8">
        <v>2023</v>
      </c>
      <c r="H151" s="8" t="str">
        <f>CONCATENATE("34240049113")</f>
        <v>34240049113</v>
      </c>
      <c r="I151" s="8" t="s">
        <v>120</v>
      </c>
      <c r="J151" s="8" t="s">
        <v>33</v>
      </c>
      <c r="K151" s="8" t="str">
        <f t="shared" si="8"/>
        <v/>
      </c>
      <c r="L151" s="8" t="str">
        <f t="shared" si="9"/>
        <v>11 11.2 4b</v>
      </c>
      <c r="M151" s="8" t="str">
        <f>CONCATENATE("MRNCMN56H55G005G")</f>
        <v>MRNCMN56H55G005G</v>
      </c>
      <c r="N151" s="8" t="s">
        <v>232</v>
      </c>
      <c r="O151" s="8" t="s">
        <v>35</v>
      </c>
      <c r="P151" s="9">
        <v>45355</v>
      </c>
      <c r="Q151" s="8" t="s">
        <v>36</v>
      </c>
      <c r="R151" s="8" t="s">
        <v>37</v>
      </c>
      <c r="S151" s="8" t="s">
        <v>38</v>
      </c>
      <c r="T151" s="8"/>
      <c r="U151" s="8" t="s">
        <v>39</v>
      </c>
      <c r="V151" s="10">
        <v>5547.2</v>
      </c>
      <c r="W151" s="10">
        <v>2391.9499999999998</v>
      </c>
      <c r="X151" s="10">
        <v>2208.9</v>
      </c>
      <c r="Y151" s="8">
        <v>946.35</v>
      </c>
      <c r="Z151" s="8">
        <v>0</v>
      </c>
    </row>
    <row r="152" spans="1:26" ht="30" x14ac:dyDescent="0.3">
      <c r="A152" s="8" t="s">
        <v>27</v>
      </c>
      <c r="B152" s="8" t="s">
        <v>28</v>
      </c>
      <c r="C152" s="8" t="s">
        <v>29</v>
      </c>
      <c r="D152" s="8" t="s">
        <v>52</v>
      </c>
      <c r="E152" s="8" t="s">
        <v>46</v>
      </c>
      <c r="F152" s="8" t="s">
        <v>126</v>
      </c>
      <c r="G152" s="8">
        <v>2023</v>
      </c>
      <c r="H152" s="8" t="str">
        <f>CONCATENATE("34240178631")</f>
        <v>34240178631</v>
      </c>
      <c r="I152" s="8" t="s">
        <v>32</v>
      </c>
      <c r="J152" s="8" t="s">
        <v>33</v>
      </c>
      <c r="K152" s="8" t="str">
        <f t="shared" si="8"/>
        <v/>
      </c>
      <c r="L152" s="8" t="str">
        <f t="shared" si="9"/>
        <v>11 11.2 4b</v>
      </c>
      <c r="M152" s="8" t="str">
        <f>CONCATENATE("00922500426")</f>
        <v>00922500426</v>
      </c>
      <c r="N152" s="8" t="s">
        <v>233</v>
      </c>
      <c r="O152" s="8" t="s">
        <v>35</v>
      </c>
      <c r="P152" s="9">
        <v>45355</v>
      </c>
      <c r="Q152" s="8" t="s">
        <v>36</v>
      </c>
      <c r="R152" s="8" t="s">
        <v>37</v>
      </c>
      <c r="S152" s="8" t="s">
        <v>38</v>
      </c>
      <c r="T152" s="8"/>
      <c r="U152" s="8" t="s">
        <v>39</v>
      </c>
      <c r="V152" s="10">
        <v>1451.15</v>
      </c>
      <c r="W152" s="8">
        <v>625.74</v>
      </c>
      <c r="X152" s="8">
        <v>577.85</v>
      </c>
      <c r="Y152" s="8">
        <v>247.56</v>
      </c>
      <c r="Z152" s="8">
        <v>0</v>
      </c>
    </row>
    <row r="153" spans="1:26" ht="49.2" x14ac:dyDescent="0.3">
      <c r="A153" s="8" t="s">
        <v>27</v>
      </c>
      <c r="B153" s="8" t="s">
        <v>28</v>
      </c>
      <c r="C153" s="8" t="s">
        <v>29</v>
      </c>
      <c r="D153" s="8" t="s">
        <v>30</v>
      </c>
      <c r="E153" s="8" t="s">
        <v>234</v>
      </c>
      <c r="F153" s="8" t="s">
        <v>235</v>
      </c>
      <c r="G153" s="8">
        <v>2023</v>
      </c>
      <c r="H153" s="8" t="str">
        <f>CONCATENATE("34240450659")</f>
        <v>34240450659</v>
      </c>
      <c r="I153" s="8" t="s">
        <v>32</v>
      </c>
      <c r="J153" s="8" t="s">
        <v>33</v>
      </c>
      <c r="K153" s="8" t="str">
        <f t="shared" si="8"/>
        <v/>
      </c>
      <c r="L153" s="8" t="str">
        <f t="shared" si="9"/>
        <v>11 11.2 4b</v>
      </c>
      <c r="M153" s="8" t="str">
        <f>CONCATENATE("PTRGNN69D15A462E")</f>
        <v>PTRGNN69D15A462E</v>
      </c>
      <c r="N153" s="8" t="s">
        <v>236</v>
      </c>
      <c r="O153" s="8" t="s">
        <v>35</v>
      </c>
      <c r="P153" s="9">
        <v>45355</v>
      </c>
      <c r="Q153" s="8" t="s">
        <v>36</v>
      </c>
      <c r="R153" s="8" t="s">
        <v>37</v>
      </c>
      <c r="S153" s="8" t="s">
        <v>38</v>
      </c>
      <c r="T153" s="8"/>
      <c r="U153" s="8" t="s">
        <v>39</v>
      </c>
      <c r="V153" s="8">
        <v>175.08</v>
      </c>
      <c r="W153" s="8">
        <v>75.489999999999995</v>
      </c>
      <c r="X153" s="8">
        <v>69.72</v>
      </c>
      <c r="Y153" s="8">
        <v>29.87</v>
      </c>
      <c r="Z153" s="8">
        <v>0</v>
      </c>
    </row>
    <row r="154" spans="1:26" ht="30" x14ac:dyDescent="0.3">
      <c r="A154" s="8" t="s">
        <v>27</v>
      </c>
      <c r="B154" s="8" t="s">
        <v>28</v>
      </c>
      <c r="C154" s="8" t="s">
        <v>29</v>
      </c>
      <c r="D154" s="8" t="s">
        <v>30</v>
      </c>
      <c r="E154" s="8" t="s">
        <v>86</v>
      </c>
      <c r="F154" s="8" t="s">
        <v>99</v>
      </c>
      <c r="G154" s="8">
        <v>2023</v>
      </c>
      <c r="H154" s="8" t="str">
        <f>CONCATENATE("34240121698")</f>
        <v>34240121698</v>
      </c>
      <c r="I154" s="8" t="s">
        <v>32</v>
      </c>
      <c r="J154" s="8" t="s">
        <v>33</v>
      </c>
      <c r="K154" s="8" t="str">
        <f t="shared" si="8"/>
        <v/>
      </c>
      <c r="L154" s="8" t="str">
        <f t="shared" si="9"/>
        <v>11 11.2 4b</v>
      </c>
      <c r="M154" s="8" t="str">
        <f>CONCATENATE("02340300447")</f>
        <v>02340300447</v>
      </c>
      <c r="N154" s="8" t="s">
        <v>237</v>
      </c>
      <c r="O154" s="8" t="s">
        <v>35</v>
      </c>
      <c r="P154" s="9">
        <v>45355</v>
      </c>
      <c r="Q154" s="8" t="s">
        <v>36</v>
      </c>
      <c r="R154" s="8" t="s">
        <v>37</v>
      </c>
      <c r="S154" s="8" t="s">
        <v>38</v>
      </c>
      <c r="T154" s="8"/>
      <c r="U154" s="8" t="s">
        <v>39</v>
      </c>
      <c r="V154" s="10">
        <v>2147.96</v>
      </c>
      <c r="W154" s="8">
        <v>926.2</v>
      </c>
      <c r="X154" s="8">
        <v>855.32</v>
      </c>
      <c r="Y154" s="8">
        <v>366.44</v>
      </c>
      <c r="Z154" s="8">
        <v>0</v>
      </c>
    </row>
    <row r="155" spans="1:26" ht="49.2" x14ac:dyDescent="0.3">
      <c r="A155" s="8" t="s">
        <v>27</v>
      </c>
      <c r="B155" s="8" t="s">
        <v>28</v>
      </c>
      <c r="C155" s="8" t="s">
        <v>29</v>
      </c>
      <c r="D155" s="8" t="s">
        <v>41</v>
      </c>
      <c r="E155" s="8" t="s">
        <v>42</v>
      </c>
      <c r="F155" s="8" t="s">
        <v>238</v>
      </c>
      <c r="G155" s="8">
        <v>2023</v>
      </c>
      <c r="H155" s="8" t="str">
        <f>CONCATENATE("34240774611")</f>
        <v>34240774611</v>
      </c>
      <c r="I155" s="8" t="s">
        <v>32</v>
      </c>
      <c r="J155" s="8" t="s">
        <v>33</v>
      </c>
      <c r="K155" s="8" t="str">
        <f t="shared" si="8"/>
        <v/>
      </c>
      <c r="L155" s="8" t="str">
        <f t="shared" si="9"/>
        <v>11 11.2 4b</v>
      </c>
      <c r="M155" s="8" t="str">
        <f>CONCATENATE("BRCDRN50P12H949R")</f>
        <v>BRCDRN50P12H949R</v>
      </c>
      <c r="N155" s="8" t="s">
        <v>239</v>
      </c>
      <c r="O155" s="8" t="s">
        <v>35</v>
      </c>
      <c r="P155" s="9">
        <v>45355</v>
      </c>
      <c r="Q155" s="8" t="s">
        <v>36</v>
      </c>
      <c r="R155" s="8" t="s">
        <v>37</v>
      </c>
      <c r="S155" s="8" t="s">
        <v>38</v>
      </c>
      <c r="T155" s="8"/>
      <c r="U155" s="8" t="s">
        <v>39</v>
      </c>
      <c r="V155" s="10">
        <v>3528.46</v>
      </c>
      <c r="W155" s="10">
        <v>1521.47</v>
      </c>
      <c r="X155" s="10">
        <v>1405.03</v>
      </c>
      <c r="Y155" s="8">
        <v>601.96</v>
      </c>
      <c r="Z155" s="8">
        <v>0</v>
      </c>
    </row>
    <row r="156" spans="1:26" ht="30" x14ac:dyDescent="0.3">
      <c r="A156" s="8" t="s">
        <v>27</v>
      </c>
      <c r="B156" s="8" t="s">
        <v>28</v>
      </c>
      <c r="C156" s="8" t="s">
        <v>29</v>
      </c>
      <c r="D156" s="8" t="s">
        <v>30</v>
      </c>
      <c r="E156" s="8" t="s">
        <v>86</v>
      </c>
      <c r="F156" s="8" t="s">
        <v>99</v>
      </c>
      <c r="G156" s="8">
        <v>2023</v>
      </c>
      <c r="H156" s="8" t="str">
        <f>CONCATENATE("34210027040")</f>
        <v>34210027040</v>
      </c>
      <c r="I156" s="8" t="s">
        <v>32</v>
      </c>
      <c r="J156" s="8" t="s">
        <v>33</v>
      </c>
      <c r="K156" s="8" t="str">
        <f t="shared" si="8"/>
        <v/>
      </c>
      <c r="L156" s="8" t="str">
        <f>CONCATENATE("13 13.1 4a")</f>
        <v>13 13.1 4a</v>
      </c>
      <c r="M156" s="8" t="str">
        <f>CONCATENATE("02340300447")</f>
        <v>02340300447</v>
      </c>
      <c r="N156" s="8" t="s">
        <v>237</v>
      </c>
      <c r="O156" s="8" t="s">
        <v>49</v>
      </c>
      <c r="P156" s="9">
        <v>45355</v>
      </c>
      <c r="Q156" s="8" t="s">
        <v>36</v>
      </c>
      <c r="R156" s="8" t="s">
        <v>37</v>
      </c>
      <c r="S156" s="8" t="s">
        <v>38</v>
      </c>
      <c r="T156" s="8"/>
      <c r="U156" s="8" t="s">
        <v>39</v>
      </c>
      <c r="V156" s="10">
        <v>2534.73</v>
      </c>
      <c r="W156" s="10">
        <v>1092.98</v>
      </c>
      <c r="X156" s="10">
        <v>1009.33</v>
      </c>
      <c r="Y156" s="8">
        <v>432.42</v>
      </c>
      <c r="Z156" s="8">
        <v>0</v>
      </c>
    </row>
    <row r="157" spans="1:26" ht="58.8" x14ac:dyDescent="0.3">
      <c r="A157" s="8" t="s">
        <v>27</v>
      </c>
      <c r="B157" s="8" t="s">
        <v>28</v>
      </c>
      <c r="C157" s="8" t="s">
        <v>29</v>
      </c>
      <c r="D157" s="8" t="s">
        <v>30</v>
      </c>
      <c r="E157" s="8" t="s">
        <v>57</v>
      </c>
      <c r="F157" s="8" t="s">
        <v>119</v>
      </c>
      <c r="G157" s="8">
        <v>2023</v>
      </c>
      <c r="H157" s="8" t="str">
        <f>CONCATENATE("34240188416")</f>
        <v>34240188416</v>
      </c>
      <c r="I157" s="8" t="s">
        <v>32</v>
      </c>
      <c r="J157" s="8" t="s">
        <v>33</v>
      </c>
      <c r="K157" s="8" t="str">
        <f t="shared" si="8"/>
        <v/>
      </c>
      <c r="L157" s="8" t="str">
        <f>CONCATENATE("11 11.2 4b")</f>
        <v>11 11.2 4b</v>
      </c>
      <c r="M157" s="8" t="str">
        <f>CONCATENATE("MGLNZR47B15A462B")</f>
        <v>MGLNZR47B15A462B</v>
      </c>
      <c r="N157" s="8" t="s">
        <v>240</v>
      </c>
      <c r="O157" s="8" t="s">
        <v>35</v>
      </c>
      <c r="P157" s="9">
        <v>45355</v>
      </c>
      <c r="Q157" s="8" t="s">
        <v>36</v>
      </c>
      <c r="R157" s="8" t="s">
        <v>37</v>
      </c>
      <c r="S157" s="8" t="s">
        <v>38</v>
      </c>
      <c r="T157" s="8"/>
      <c r="U157" s="8" t="s">
        <v>39</v>
      </c>
      <c r="V157" s="8">
        <v>254.47</v>
      </c>
      <c r="W157" s="8">
        <v>109.73</v>
      </c>
      <c r="X157" s="8">
        <v>101.33</v>
      </c>
      <c r="Y157" s="8">
        <v>43.41</v>
      </c>
      <c r="Z157" s="8">
        <v>0</v>
      </c>
    </row>
    <row r="158" spans="1:26" ht="58.8" x14ac:dyDescent="0.3">
      <c r="A158" s="8" t="s">
        <v>27</v>
      </c>
      <c r="B158" s="8" t="s">
        <v>28</v>
      </c>
      <c r="C158" s="8" t="s">
        <v>29</v>
      </c>
      <c r="D158" s="8" t="s">
        <v>30</v>
      </c>
      <c r="E158" s="8" t="s">
        <v>57</v>
      </c>
      <c r="F158" s="8" t="s">
        <v>119</v>
      </c>
      <c r="G158" s="8">
        <v>2023</v>
      </c>
      <c r="H158" s="8" t="str">
        <f>CONCATENATE("34240188093")</f>
        <v>34240188093</v>
      </c>
      <c r="I158" s="8" t="s">
        <v>32</v>
      </c>
      <c r="J158" s="8" t="s">
        <v>33</v>
      </c>
      <c r="K158" s="8" t="str">
        <f t="shared" si="8"/>
        <v/>
      </c>
      <c r="L158" s="8" t="str">
        <f>CONCATENATE("11 11.2 4b")</f>
        <v>11 11.2 4b</v>
      </c>
      <c r="M158" s="8" t="str">
        <f>CONCATENATE("MGLNZR47B15A462B")</f>
        <v>MGLNZR47B15A462B</v>
      </c>
      <c r="N158" s="8" t="s">
        <v>240</v>
      </c>
      <c r="O158" s="8" t="s">
        <v>35</v>
      </c>
      <c r="P158" s="9">
        <v>45355</v>
      </c>
      <c r="Q158" s="8" t="s">
        <v>36</v>
      </c>
      <c r="R158" s="8" t="s">
        <v>37</v>
      </c>
      <c r="S158" s="8" t="s">
        <v>38</v>
      </c>
      <c r="T158" s="8"/>
      <c r="U158" s="8" t="s">
        <v>39</v>
      </c>
      <c r="V158" s="10">
        <v>1111.1500000000001</v>
      </c>
      <c r="W158" s="8">
        <v>479.13</v>
      </c>
      <c r="X158" s="8">
        <v>442.46</v>
      </c>
      <c r="Y158" s="8">
        <v>189.56</v>
      </c>
      <c r="Z158" s="8">
        <v>0</v>
      </c>
    </row>
    <row r="159" spans="1:26" ht="30" x14ac:dyDescent="0.3">
      <c r="A159" s="8" t="s">
        <v>27</v>
      </c>
      <c r="B159" s="8" t="s">
        <v>28</v>
      </c>
      <c r="C159" s="8" t="s">
        <v>29</v>
      </c>
      <c r="D159" s="8" t="s">
        <v>52</v>
      </c>
      <c r="E159" s="8" t="s">
        <v>57</v>
      </c>
      <c r="F159" s="8" t="s">
        <v>65</v>
      </c>
      <c r="G159" s="8">
        <v>2023</v>
      </c>
      <c r="H159" s="8" t="str">
        <f>CONCATENATE("34240241694")</f>
        <v>34240241694</v>
      </c>
      <c r="I159" s="8" t="s">
        <v>32</v>
      </c>
      <c r="J159" s="8" t="s">
        <v>33</v>
      </c>
      <c r="K159" s="8" t="str">
        <f t="shared" si="8"/>
        <v/>
      </c>
      <c r="L159" s="8" t="str">
        <f>CONCATENATE("11 11.2 4b")</f>
        <v>11 11.2 4b</v>
      </c>
      <c r="M159" s="8" t="str">
        <f>CONCATENATE("02351550427")</f>
        <v>02351550427</v>
      </c>
      <c r="N159" s="8" t="s">
        <v>241</v>
      </c>
      <c r="O159" s="8" t="s">
        <v>35</v>
      </c>
      <c r="P159" s="9">
        <v>45355</v>
      </c>
      <c r="Q159" s="8" t="s">
        <v>36</v>
      </c>
      <c r="R159" s="8" t="s">
        <v>37</v>
      </c>
      <c r="S159" s="8" t="s">
        <v>38</v>
      </c>
      <c r="T159" s="8"/>
      <c r="U159" s="8" t="s">
        <v>39</v>
      </c>
      <c r="V159" s="8">
        <v>323.86</v>
      </c>
      <c r="W159" s="8">
        <v>139.65</v>
      </c>
      <c r="X159" s="8">
        <v>128.96</v>
      </c>
      <c r="Y159" s="8">
        <v>55.25</v>
      </c>
      <c r="Z159" s="8">
        <v>0</v>
      </c>
    </row>
    <row r="160" spans="1:26" ht="49.2" x14ac:dyDescent="0.3">
      <c r="A160" s="8" t="s">
        <v>27</v>
      </c>
      <c r="B160" s="8" t="s">
        <v>28</v>
      </c>
      <c r="C160" s="8" t="s">
        <v>29</v>
      </c>
      <c r="D160" s="8" t="s">
        <v>52</v>
      </c>
      <c r="E160" s="8" t="s">
        <v>46</v>
      </c>
      <c r="F160" s="8" t="s">
        <v>55</v>
      </c>
      <c r="G160" s="8">
        <v>2023</v>
      </c>
      <c r="H160" s="8" t="str">
        <f>CONCATENATE("34240309418")</f>
        <v>34240309418</v>
      </c>
      <c r="I160" s="8" t="s">
        <v>32</v>
      </c>
      <c r="J160" s="8" t="s">
        <v>33</v>
      </c>
      <c r="K160" s="8" t="str">
        <f t="shared" si="8"/>
        <v/>
      </c>
      <c r="L160" s="8" t="str">
        <f>CONCATENATE("11 11.2 4b")</f>
        <v>11 11.2 4b</v>
      </c>
      <c r="M160" s="8" t="str">
        <f>CONCATENATE("FRNLGU38L10G478C")</f>
        <v>FRNLGU38L10G478C</v>
      </c>
      <c r="N160" s="8" t="s">
        <v>242</v>
      </c>
      <c r="O160" s="8" t="s">
        <v>35</v>
      </c>
      <c r="P160" s="9">
        <v>45355</v>
      </c>
      <c r="Q160" s="8" t="s">
        <v>36</v>
      </c>
      <c r="R160" s="8" t="s">
        <v>37</v>
      </c>
      <c r="S160" s="8" t="s">
        <v>38</v>
      </c>
      <c r="T160" s="8"/>
      <c r="U160" s="8" t="s">
        <v>39</v>
      </c>
      <c r="V160" s="10">
        <v>25946.86</v>
      </c>
      <c r="W160" s="10">
        <v>11188.29</v>
      </c>
      <c r="X160" s="10">
        <v>10332.040000000001</v>
      </c>
      <c r="Y160" s="10">
        <v>4426.53</v>
      </c>
      <c r="Z160" s="8">
        <v>0</v>
      </c>
    </row>
    <row r="161" spans="1:26" ht="30" x14ac:dyDescent="0.3">
      <c r="A161" s="8" t="s">
        <v>27</v>
      </c>
      <c r="B161" s="8" t="s">
        <v>28</v>
      </c>
      <c r="C161" s="8" t="s">
        <v>29</v>
      </c>
      <c r="D161" s="8" t="s">
        <v>52</v>
      </c>
      <c r="E161" s="8" t="s">
        <v>135</v>
      </c>
      <c r="F161" s="8" t="s">
        <v>243</v>
      </c>
      <c r="G161" s="8">
        <v>2023</v>
      </c>
      <c r="H161" s="8" t="str">
        <f>CONCATENATE("34240161496")</f>
        <v>34240161496</v>
      </c>
      <c r="I161" s="8" t="s">
        <v>32</v>
      </c>
      <c r="J161" s="8" t="s">
        <v>33</v>
      </c>
      <c r="K161" s="8" t="str">
        <f t="shared" si="8"/>
        <v/>
      </c>
      <c r="L161" s="8" t="str">
        <f>CONCATENATE("11 11.2 4b")</f>
        <v>11 11.2 4b</v>
      </c>
      <c r="M161" s="8" t="str">
        <f>CONCATENATE("02118990429")</f>
        <v>02118990429</v>
      </c>
      <c r="N161" s="8" t="s">
        <v>244</v>
      </c>
      <c r="O161" s="8" t="s">
        <v>35</v>
      </c>
      <c r="P161" s="9">
        <v>45355</v>
      </c>
      <c r="Q161" s="8" t="s">
        <v>36</v>
      </c>
      <c r="R161" s="8" t="s">
        <v>37</v>
      </c>
      <c r="S161" s="8" t="s">
        <v>38</v>
      </c>
      <c r="T161" s="8"/>
      <c r="U161" s="8" t="s">
        <v>39</v>
      </c>
      <c r="V161" s="10">
        <v>33744.120000000003</v>
      </c>
      <c r="W161" s="10">
        <v>14550.46</v>
      </c>
      <c r="X161" s="10">
        <v>13436.91</v>
      </c>
      <c r="Y161" s="10">
        <v>5756.75</v>
      </c>
      <c r="Z161" s="8">
        <v>0</v>
      </c>
    </row>
    <row r="162" spans="1:26" ht="49.2" x14ac:dyDescent="0.3">
      <c r="A162" s="8" t="s">
        <v>27</v>
      </c>
      <c r="B162" s="8" t="s">
        <v>28</v>
      </c>
      <c r="C162" s="8" t="s">
        <v>29</v>
      </c>
      <c r="D162" s="8" t="s">
        <v>41</v>
      </c>
      <c r="E162" s="8" t="s">
        <v>46</v>
      </c>
      <c r="F162" s="8" t="s">
        <v>80</v>
      </c>
      <c r="G162" s="8">
        <v>2023</v>
      </c>
      <c r="H162" s="8" t="str">
        <f>CONCATENATE("34210004916")</f>
        <v>34210004916</v>
      </c>
      <c r="I162" s="8" t="s">
        <v>32</v>
      </c>
      <c r="J162" s="8" t="s">
        <v>33</v>
      </c>
      <c r="K162" s="8" t="str">
        <f t="shared" si="8"/>
        <v/>
      </c>
      <c r="L162" s="8" t="str">
        <f t="shared" ref="L162:L185" si="10">CONCATENATE("13 13.1 4a")</f>
        <v>13 13.1 4a</v>
      </c>
      <c r="M162" s="8" t="str">
        <f>CONCATENATE("PLCLCN53A25B352U")</f>
        <v>PLCLCN53A25B352U</v>
      </c>
      <c r="N162" s="8" t="s">
        <v>245</v>
      </c>
      <c r="O162" s="8" t="s">
        <v>49</v>
      </c>
      <c r="P162" s="9">
        <v>45355</v>
      </c>
      <c r="Q162" s="8" t="s">
        <v>36</v>
      </c>
      <c r="R162" s="8" t="s">
        <v>37</v>
      </c>
      <c r="S162" s="8" t="s">
        <v>38</v>
      </c>
      <c r="T162" s="8"/>
      <c r="U162" s="8" t="s">
        <v>39</v>
      </c>
      <c r="V162" s="8">
        <v>803.47</v>
      </c>
      <c r="W162" s="8">
        <v>346.46</v>
      </c>
      <c r="X162" s="8">
        <v>319.94</v>
      </c>
      <c r="Y162" s="8">
        <v>137.07</v>
      </c>
      <c r="Z162" s="8">
        <v>0</v>
      </c>
    </row>
    <row r="163" spans="1:26" ht="49.2" x14ac:dyDescent="0.3">
      <c r="A163" s="8" t="s">
        <v>27</v>
      </c>
      <c r="B163" s="8" t="s">
        <v>28</v>
      </c>
      <c r="C163" s="8" t="s">
        <v>29</v>
      </c>
      <c r="D163" s="8" t="s">
        <v>52</v>
      </c>
      <c r="E163" s="8" t="s">
        <v>71</v>
      </c>
      <c r="F163" s="8" t="s">
        <v>95</v>
      </c>
      <c r="G163" s="8">
        <v>2023</v>
      </c>
      <c r="H163" s="8" t="str">
        <f>CONCATENATE("34210010574")</f>
        <v>34210010574</v>
      </c>
      <c r="I163" s="8" t="s">
        <v>32</v>
      </c>
      <c r="J163" s="8" t="s">
        <v>33</v>
      </c>
      <c r="K163" s="8" t="str">
        <f t="shared" si="8"/>
        <v/>
      </c>
      <c r="L163" s="8" t="str">
        <f t="shared" si="10"/>
        <v>13 13.1 4a</v>
      </c>
      <c r="M163" s="8" t="str">
        <f>CONCATENATE("BDYMLN71E42Z100O")</f>
        <v>BDYMLN71E42Z100O</v>
      </c>
      <c r="N163" s="8" t="s">
        <v>246</v>
      </c>
      <c r="O163" s="8" t="s">
        <v>49</v>
      </c>
      <c r="P163" s="9">
        <v>45355</v>
      </c>
      <c r="Q163" s="8" t="s">
        <v>36</v>
      </c>
      <c r="R163" s="8" t="s">
        <v>37</v>
      </c>
      <c r="S163" s="8" t="s">
        <v>38</v>
      </c>
      <c r="T163" s="8"/>
      <c r="U163" s="8" t="s">
        <v>39</v>
      </c>
      <c r="V163" s="10">
        <v>2705.82</v>
      </c>
      <c r="W163" s="10">
        <v>1166.75</v>
      </c>
      <c r="X163" s="10">
        <v>1077.46</v>
      </c>
      <c r="Y163" s="8">
        <v>461.61</v>
      </c>
      <c r="Z163" s="8">
        <v>0</v>
      </c>
    </row>
    <row r="164" spans="1:26" ht="49.2" x14ac:dyDescent="0.3">
      <c r="A164" s="8" t="s">
        <v>27</v>
      </c>
      <c r="B164" s="8" t="s">
        <v>28</v>
      </c>
      <c r="C164" s="8" t="s">
        <v>29</v>
      </c>
      <c r="D164" s="8" t="s">
        <v>41</v>
      </c>
      <c r="E164" s="8" t="s">
        <v>86</v>
      </c>
      <c r="F164" s="8" t="s">
        <v>247</v>
      </c>
      <c r="G164" s="8">
        <v>2016</v>
      </c>
      <c r="H164" s="8" t="str">
        <f>CONCATENATE("64210853673")</f>
        <v>64210853673</v>
      </c>
      <c r="I164" s="8" t="s">
        <v>32</v>
      </c>
      <c r="J164" s="8" t="s">
        <v>33</v>
      </c>
      <c r="K164" s="8" t="str">
        <f t="shared" si="8"/>
        <v/>
      </c>
      <c r="L164" s="8" t="str">
        <f t="shared" si="10"/>
        <v>13 13.1 4a</v>
      </c>
      <c r="M164" s="8" t="str">
        <f>CONCATENATE("GRSMLS53H46E351Q")</f>
        <v>GRSMLS53H46E351Q</v>
      </c>
      <c r="N164" s="8" t="s">
        <v>248</v>
      </c>
      <c r="O164" s="8" t="s">
        <v>49</v>
      </c>
      <c r="P164" s="9">
        <v>45355</v>
      </c>
      <c r="Q164" s="8" t="s">
        <v>36</v>
      </c>
      <c r="R164" s="8" t="s">
        <v>37</v>
      </c>
      <c r="S164" s="8" t="s">
        <v>38</v>
      </c>
      <c r="T164" s="8"/>
      <c r="U164" s="8" t="s">
        <v>39</v>
      </c>
      <c r="V164" s="8">
        <v>282.94</v>
      </c>
      <c r="W164" s="8">
        <v>122</v>
      </c>
      <c r="X164" s="8">
        <v>112.67</v>
      </c>
      <c r="Y164" s="8">
        <v>48.27</v>
      </c>
      <c r="Z164" s="8">
        <v>0</v>
      </c>
    </row>
    <row r="165" spans="1:26" ht="30" x14ac:dyDescent="0.3">
      <c r="A165" s="8" t="s">
        <v>27</v>
      </c>
      <c r="B165" s="8" t="s">
        <v>28</v>
      </c>
      <c r="C165" s="8" t="s">
        <v>29</v>
      </c>
      <c r="D165" s="8" t="s">
        <v>41</v>
      </c>
      <c r="E165" s="8" t="s">
        <v>71</v>
      </c>
      <c r="F165" s="8" t="s">
        <v>142</v>
      </c>
      <c r="G165" s="8">
        <v>2023</v>
      </c>
      <c r="H165" s="8" t="str">
        <f>CONCATENATE("34210041629")</f>
        <v>34210041629</v>
      </c>
      <c r="I165" s="8" t="s">
        <v>32</v>
      </c>
      <c r="J165" s="8" t="s">
        <v>33</v>
      </c>
      <c r="K165" s="8" t="str">
        <f t="shared" si="8"/>
        <v/>
      </c>
      <c r="L165" s="8" t="str">
        <f t="shared" si="10"/>
        <v>13 13.1 4a</v>
      </c>
      <c r="M165" s="8" t="str">
        <f>CONCATENATE("02254910413")</f>
        <v>02254910413</v>
      </c>
      <c r="N165" s="8" t="s">
        <v>249</v>
      </c>
      <c r="O165" s="8" t="s">
        <v>49</v>
      </c>
      <c r="P165" s="9">
        <v>45355</v>
      </c>
      <c r="Q165" s="8" t="s">
        <v>36</v>
      </c>
      <c r="R165" s="8" t="s">
        <v>37</v>
      </c>
      <c r="S165" s="8" t="s">
        <v>38</v>
      </c>
      <c r="T165" s="8"/>
      <c r="U165" s="8" t="s">
        <v>39</v>
      </c>
      <c r="V165" s="8">
        <v>991</v>
      </c>
      <c r="W165" s="8">
        <v>427.32</v>
      </c>
      <c r="X165" s="8">
        <v>394.62</v>
      </c>
      <c r="Y165" s="8">
        <v>169.06</v>
      </c>
      <c r="Z165" s="8">
        <v>0</v>
      </c>
    </row>
    <row r="166" spans="1:26" ht="30" x14ac:dyDescent="0.3">
      <c r="A166" s="8" t="s">
        <v>27</v>
      </c>
      <c r="B166" s="8" t="s">
        <v>28</v>
      </c>
      <c r="C166" s="8" t="s">
        <v>29</v>
      </c>
      <c r="D166" s="8" t="s">
        <v>41</v>
      </c>
      <c r="E166" s="8" t="s">
        <v>46</v>
      </c>
      <c r="F166" s="8" t="s">
        <v>92</v>
      </c>
      <c r="G166" s="8">
        <v>2023</v>
      </c>
      <c r="H166" s="8" t="str">
        <f>CONCATENATE("34210051529")</f>
        <v>34210051529</v>
      </c>
      <c r="I166" s="8" t="s">
        <v>32</v>
      </c>
      <c r="J166" s="8" t="s">
        <v>33</v>
      </c>
      <c r="K166" s="8" t="str">
        <f t="shared" si="8"/>
        <v/>
      </c>
      <c r="L166" s="8" t="str">
        <f t="shared" si="10"/>
        <v>13 13.1 4a</v>
      </c>
      <c r="M166" s="8" t="str">
        <f>CONCATENATE("02338940410")</f>
        <v>02338940410</v>
      </c>
      <c r="N166" s="8" t="s">
        <v>250</v>
      </c>
      <c r="O166" s="8" t="s">
        <v>49</v>
      </c>
      <c r="P166" s="9">
        <v>45355</v>
      </c>
      <c r="Q166" s="8" t="s">
        <v>36</v>
      </c>
      <c r="R166" s="8" t="s">
        <v>37</v>
      </c>
      <c r="S166" s="8" t="s">
        <v>38</v>
      </c>
      <c r="T166" s="8"/>
      <c r="U166" s="8" t="s">
        <v>39</v>
      </c>
      <c r="V166" s="10">
        <v>10145.11</v>
      </c>
      <c r="W166" s="10">
        <v>4374.57</v>
      </c>
      <c r="X166" s="10">
        <v>4039.78</v>
      </c>
      <c r="Y166" s="10">
        <v>1730.76</v>
      </c>
      <c r="Z166" s="8">
        <v>0</v>
      </c>
    </row>
    <row r="167" spans="1:26" ht="49.2" x14ac:dyDescent="0.3">
      <c r="A167" s="8" t="s">
        <v>27</v>
      </c>
      <c r="B167" s="8" t="s">
        <v>28</v>
      </c>
      <c r="C167" s="8" t="s">
        <v>29</v>
      </c>
      <c r="D167" s="8" t="s">
        <v>45</v>
      </c>
      <c r="E167" s="8" t="s">
        <v>46</v>
      </c>
      <c r="F167" s="8" t="s">
        <v>47</v>
      </c>
      <c r="G167" s="8">
        <v>2023</v>
      </c>
      <c r="H167" s="8" t="str">
        <f>CONCATENATE("34210077755")</f>
        <v>34210077755</v>
      </c>
      <c r="I167" s="8" t="s">
        <v>32</v>
      </c>
      <c r="J167" s="8" t="s">
        <v>33</v>
      </c>
      <c r="K167" s="8" t="str">
        <f t="shared" si="8"/>
        <v/>
      </c>
      <c r="L167" s="8" t="str">
        <f t="shared" si="10"/>
        <v>13 13.1 4a</v>
      </c>
      <c r="M167" s="8" t="str">
        <f>CONCATENATE("LRNLDA58R01F051V")</f>
        <v>LRNLDA58R01F051V</v>
      </c>
      <c r="N167" s="8" t="s">
        <v>251</v>
      </c>
      <c r="O167" s="8" t="s">
        <v>49</v>
      </c>
      <c r="P167" s="9">
        <v>45355</v>
      </c>
      <c r="Q167" s="8" t="s">
        <v>36</v>
      </c>
      <c r="R167" s="8" t="s">
        <v>37</v>
      </c>
      <c r="S167" s="8" t="s">
        <v>38</v>
      </c>
      <c r="T167" s="8"/>
      <c r="U167" s="8" t="s">
        <v>39</v>
      </c>
      <c r="V167" s="10">
        <v>8618.61</v>
      </c>
      <c r="W167" s="10">
        <v>3716.34</v>
      </c>
      <c r="X167" s="10">
        <v>3431.93</v>
      </c>
      <c r="Y167" s="10">
        <v>1470.34</v>
      </c>
      <c r="Z167" s="8">
        <v>0</v>
      </c>
    </row>
    <row r="168" spans="1:26" ht="58.8" x14ac:dyDescent="0.3">
      <c r="A168" s="8" t="s">
        <v>27</v>
      </c>
      <c r="B168" s="8" t="s">
        <v>28</v>
      </c>
      <c r="C168" s="8" t="s">
        <v>29</v>
      </c>
      <c r="D168" s="8" t="s">
        <v>41</v>
      </c>
      <c r="E168" s="8" t="s">
        <v>42</v>
      </c>
      <c r="F168" s="8" t="s">
        <v>43</v>
      </c>
      <c r="G168" s="8">
        <v>2023</v>
      </c>
      <c r="H168" s="8" t="str">
        <f>CONCATENATE("34210047998")</f>
        <v>34210047998</v>
      </c>
      <c r="I168" s="8" t="s">
        <v>32</v>
      </c>
      <c r="J168" s="8" t="s">
        <v>33</v>
      </c>
      <c r="K168" s="8" t="str">
        <f t="shared" si="8"/>
        <v/>
      </c>
      <c r="L168" s="8" t="str">
        <f t="shared" si="10"/>
        <v>13 13.1 4a</v>
      </c>
      <c r="M168" s="8" t="str">
        <f>CONCATENATE("DNIGMR96M29L500R")</f>
        <v>DNIGMR96M29L500R</v>
      </c>
      <c r="N168" s="8" t="s">
        <v>252</v>
      </c>
      <c r="O168" s="8" t="s">
        <v>49</v>
      </c>
      <c r="P168" s="9">
        <v>45355</v>
      </c>
      <c r="Q168" s="8" t="s">
        <v>36</v>
      </c>
      <c r="R168" s="8" t="s">
        <v>37</v>
      </c>
      <c r="S168" s="8" t="s">
        <v>38</v>
      </c>
      <c r="T168" s="8"/>
      <c r="U168" s="8" t="s">
        <v>39</v>
      </c>
      <c r="V168" s="10">
        <v>1564.22</v>
      </c>
      <c r="W168" s="8">
        <v>674.49</v>
      </c>
      <c r="X168" s="8">
        <v>622.87</v>
      </c>
      <c r="Y168" s="8">
        <v>266.86</v>
      </c>
      <c r="Z168" s="8">
        <v>0</v>
      </c>
    </row>
    <row r="169" spans="1:26" ht="49.2" x14ac:dyDescent="0.3">
      <c r="A169" s="8" t="s">
        <v>27</v>
      </c>
      <c r="B169" s="8" t="s">
        <v>28</v>
      </c>
      <c r="C169" s="8" t="s">
        <v>29</v>
      </c>
      <c r="D169" s="8" t="s">
        <v>52</v>
      </c>
      <c r="E169" s="8" t="s">
        <v>71</v>
      </c>
      <c r="F169" s="8" t="s">
        <v>95</v>
      </c>
      <c r="G169" s="8">
        <v>2023</v>
      </c>
      <c r="H169" s="8" t="str">
        <f>CONCATENATE("34210068101")</f>
        <v>34210068101</v>
      </c>
      <c r="I169" s="8" t="s">
        <v>32</v>
      </c>
      <c r="J169" s="8" t="s">
        <v>33</v>
      </c>
      <c r="K169" s="8" t="str">
        <f t="shared" si="8"/>
        <v/>
      </c>
      <c r="L169" s="8" t="str">
        <f t="shared" si="10"/>
        <v>13 13.1 4a</v>
      </c>
      <c r="M169" s="8" t="str">
        <f>CONCATENATE("MGNDNC60L09I461C")</f>
        <v>MGNDNC60L09I461C</v>
      </c>
      <c r="N169" s="8" t="s">
        <v>253</v>
      </c>
      <c r="O169" s="8" t="s">
        <v>49</v>
      </c>
      <c r="P169" s="9">
        <v>45355</v>
      </c>
      <c r="Q169" s="8" t="s">
        <v>36</v>
      </c>
      <c r="R169" s="8" t="s">
        <v>37</v>
      </c>
      <c r="S169" s="8" t="s">
        <v>38</v>
      </c>
      <c r="T169" s="8"/>
      <c r="U169" s="8" t="s">
        <v>39</v>
      </c>
      <c r="V169" s="8">
        <v>926.81</v>
      </c>
      <c r="W169" s="8">
        <v>399.64</v>
      </c>
      <c r="X169" s="8">
        <v>369.06</v>
      </c>
      <c r="Y169" s="8">
        <v>158.11000000000001</v>
      </c>
      <c r="Z169" s="8">
        <v>0</v>
      </c>
    </row>
    <row r="170" spans="1:26" ht="49.2" x14ac:dyDescent="0.3">
      <c r="A170" s="8" t="s">
        <v>27</v>
      </c>
      <c r="B170" s="8" t="s">
        <v>28</v>
      </c>
      <c r="C170" s="8" t="s">
        <v>29</v>
      </c>
      <c r="D170" s="8" t="s">
        <v>52</v>
      </c>
      <c r="E170" s="8" t="s">
        <v>135</v>
      </c>
      <c r="F170" s="8" t="s">
        <v>243</v>
      </c>
      <c r="G170" s="8">
        <v>2023</v>
      </c>
      <c r="H170" s="8" t="str">
        <f>CONCATENATE("34210092317")</f>
        <v>34210092317</v>
      </c>
      <c r="I170" s="8" t="s">
        <v>32</v>
      </c>
      <c r="J170" s="8" t="s">
        <v>33</v>
      </c>
      <c r="K170" s="8" t="str">
        <f t="shared" si="8"/>
        <v/>
      </c>
      <c r="L170" s="8" t="str">
        <f t="shared" si="10"/>
        <v>13 13.1 4a</v>
      </c>
      <c r="M170" s="8" t="str">
        <f>CONCATENATE("NGLNDR81S30D451Q")</f>
        <v>NGLNDR81S30D451Q</v>
      </c>
      <c r="N170" s="8" t="s">
        <v>254</v>
      </c>
      <c r="O170" s="8" t="s">
        <v>49</v>
      </c>
      <c r="P170" s="9">
        <v>45355</v>
      </c>
      <c r="Q170" s="8" t="s">
        <v>36</v>
      </c>
      <c r="R170" s="8" t="s">
        <v>37</v>
      </c>
      <c r="S170" s="8" t="s">
        <v>38</v>
      </c>
      <c r="T170" s="8"/>
      <c r="U170" s="8" t="s">
        <v>39</v>
      </c>
      <c r="V170" s="10">
        <v>4017.18</v>
      </c>
      <c r="W170" s="10">
        <v>1732.21</v>
      </c>
      <c r="X170" s="10">
        <v>1599.64</v>
      </c>
      <c r="Y170" s="8">
        <v>685.33</v>
      </c>
      <c r="Z170" s="8">
        <v>0</v>
      </c>
    </row>
    <row r="171" spans="1:26" ht="58.8" x14ac:dyDescent="0.3">
      <c r="A171" s="8" t="s">
        <v>27</v>
      </c>
      <c r="B171" s="8" t="s">
        <v>28</v>
      </c>
      <c r="C171" s="8" t="s">
        <v>29</v>
      </c>
      <c r="D171" s="8" t="s">
        <v>41</v>
      </c>
      <c r="E171" s="8" t="s">
        <v>42</v>
      </c>
      <c r="F171" s="8" t="s">
        <v>43</v>
      </c>
      <c r="G171" s="8">
        <v>2022</v>
      </c>
      <c r="H171" s="8" t="str">
        <f>CONCATENATE("24210911970")</f>
        <v>24210911970</v>
      </c>
      <c r="I171" s="8" t="s">
        <v>32</v>
      </c>
      <c r="J171" s="8" t="s">
        <v>33</v>
      </c>
      <c r="K171" s="8" t="str">
        <f t="shared" si="8"/>
        <v/>
      </c>
      <c r="L171" s="8" t="str">
        <f t="shared" si="10"/>
        <v>13 13.1 4a</v>
      </c>
      <c r="M171" s="8" t="str">
        <f>CONCATENATE("SNTRRT75A11H294H")</f>
        <v>SNTRRT75A11H294H</v>
      </c>
      <c r="N171" s="8" t="s">
        <v>255</v>
      </c>
      <c r="O171" s="8" t="s">
        <v>49</v>
      </c>
      <c r="P171" s="9">
        <v>45355</v>
      </c>
      <c r="Q171" s="8" t="s">
        <v>36</v>
      </c>
      <c r="R171" s="8" t="s">
        <v>37</v>
      </c>
      <c r="S171" s="8" t="s">
        <v>38</v>
      </c>
      <c r="T171" s="8"/>
      <c r="U171" s="8" t="s">
        <v>39</v>
      </c>
      <c r="V171" s="8">
        <v>688.28</v>
      </c>
      <c r="W171" s="8">
        <v>296.79000000000002</v>
      </c>
      <c r="X171" s="8">
        <v>274.07</v>
      </c>
      <c r="Y171" s="8">
        <v>117.42</v>
      </c>
      <c r="Z171" s="8">
        <v>0</v>
      </c>
    </row>
    <row r="172" spans="1:26" ht="49.2" x14ac:dyDescent="0.3">
      <c r="A172" s="8" t="s">
        <v>27</v>
      </c>
      <c r="B172" s="8" t="s">
        <v>28</v>
      </c>
      <c r="C172" s="8" t="s">
        <v>29</v>
      </c>
      <c r="D172" s="8" t="s">
        <v>45</v>
      </c>
      <c r="E172" s="8" t="s">
        <v>46</v>
      </c>
      <c r="F172" s="8" t="s">
        <v>47</v>
      </c>
      <c r="G172" s="8">
        <v>2023</v>
      </c>
      <c r="H172" s="8" t="str">
        <f>CONCATENATE("34210028956")</f>
        <v>34210028956</v>
      </c>
      <c r="I172" s="8" t="s">
        <v>32</v>
      </c>
      <c r="J172" s="8" t="s">
        <v>33</v>
      </c>
      <c r="K172" s="8" t="str">
        <f t="shared" si="8"/>
        <v/>
      </c>
      <c r="L172" s="8" t="str">
        <f t="shared" si="10"/>
        <v>13 13.1 4a</v>
      </c>
      <c r="M172" s="8" t="str">
        <f>CONCATENATE("FNLNTN76S08A271G")</f>
        <v>FNLNTN76S08A271G</v>
      </c>
      <c r="N172" s="8" t="s">
        <v>256</v>
      </c>
      <c r="O172" s="8" t="s">
        <v>49</v>
      </c>
      <c r="P172" s="9">
        <v>45355</v>
      </c>
      <c r="Q172" s="8" t="s">
        <v>36</v>
      </c>
      <c r="R172" s="8" t="s">
        <v>37</v>
      </c>
      <c r="S172" s="8" t="s">
        <v>38</v>
      </c>
      <c r="T172" s="8"/>
      <c r="U172" s="8" t="s">
        <v>39</v>
      </c>
      <c r="V172" s="8">
        <v>300.64</v>
      </c>
      <c r="W172" s="8">
        <v>129.63999999999999</v>
      </c>
      <c r="X172" s="8">
        <v>119.71</v>
      </c>
      <c r="Y172" s="8">
        <v>51.29</v>
      </c>
      <c r="Z172" s="8">
        <v>0</v>
      </c>
    </row>
    <row r="173" spans="1:26" ht="49.2" x14ac:dyDescent="0.3">
      <c r="A173" s="8" t="s">
        <v>27</v>
      </c>
      <c r="B173" s="8" t="s">
        <v>28</v>
      </c>
      <c r="C173" s="8" t="s">
        <v>29</v>
      </c>
      <c r="D173" s="8" t="s">
        <v>41</v>
      </c>
      <c r="E173" s="8" t="s">
        <v>46</v>
      </c>
      <c r="F173" s="8" t="s">
        <v>223</v>
      </c>
      <c r="G173" s="8">
        <v>2023</v>
      </c>
      <c r="H173" s="8" t="str">
        <f>CONCATENATE("34210054143")</f>
        <v>34210054143</v>
      </c>
      <c r="I173" s="8" t="s">
        <v>32</v>
      </c>
      <c r="J173" s="8" t="s">
        <v>33</v>
      </c>
      <c r="K173" s="8" t="str">
        <f t="shared" si="8"/>
        <v/>
      </c>
      <c r="L173" s="8" t="str">
        <f t="shared" si="10"/>
        <v>13 13.1 4a</v>
      </c>
      <c r="M173" s="8" t="str">
        <f>CONCATENATE("BCCMRA58T17G453D")</f>
        <v>BCCMRA58T17G453D</v>
      </c>
      <c r="N173" s="8" t="s">
        <v>257</v>
      </c>
      <c r="O173" s="8" t="s">
        <v>49</v>
      </c>
      <c r="P173" s="9">
        <v>45355</v>
      </c>
      <c r="Q173" s="8" t="s">
        <v>36</v>
      </c>
      <c r="R173" s="8" t="s">
        <v>37</v>
      </c>
      <c r="S173" s="8" t="s">
        <v>38</v>
      </c>
      <c r="T173" s="8"/>
      <c r="U173" s="8" t="s">
        <v>39</v>
      </c>
      <c r="V173" s="10">
        <v>1412.56</v>
      </c>
      <c r="W173" s="8">
        <v>609.1</v>
      </c>
      <c r="X173" s="8">
        <v>562.48</v>
      </c>
      <c r="Y173" s="8">
        <v>240.98</v>
      </c>
      <c r="Z173" s="8">
        <v>0</v>
      </c>
    </row>
    <row r="174" spans="1:26" ht="49.2" x14ac:dyDescent="0.3">
      <c r="A174" s="8" t="s">
        <v>27</v>
      </c>
      <c r="B174" s="8" t="s">
        <v>28</v>
      </c>
      <c r="C174" s="8" t="s">
        <v>29</v>
      </c>
      <c r="D174" s="8" t="s">
        <v>41</v>
      </c>
      <c r="E174" s="8" t="s">
        <v>46</v>
      </c>
      <c r="F174" s="8" t="s">
        <v>223</v>
      </c>
      <c r="G174" s="8">
        <v>2023</v>
      </c>
      <c r="H174" s="8" t="str">
        <f>CONCATENATE("34210002647")</f>
        <v>34210002647</v>
      </c>
      <c r="I174" s="8" t="s">
        <v>32</v>
      </c>
      <c r="J174" s="8" t="s">
        <v>33</v>
      </c>
      <c r="K174" s="8" t="str">
        <f t="shared" si="8"/>
        <v/>
      </c>
      <c r="L174" s="8" t="str">
        <f t="shared" si="10"/>
        <v>13 13.1 4a</v>
      </c>
      <c r="M174" s="8" t="str">
        <f>CONCATENATE("CRPNLL42E13G453E")</f>
        <v>CRPNLL42E13G453E</v>
      </c>
      <c r="N174" s="8" t="s">
        <v>258</v>
      </c>
      <c r="O174" s="8" t="s">
        <v>49</v>
      </c>
      <c r="P174" s="9">
        <v>45355</v>
      </c>
      <c r="Q174" s="8" t="s">
        <v>36</v>
      </c>
      <c r="R174" s="8" t="s">
        <v>37</v>
      </c>
      <c r="S174" s="8" t="s">
        <v>38</v>
      </c>
      <c r="T174" s="8"/>
      <c r="U174" s="8" t="s">
        <v>39</v>
      </c>
      <c r="V174" s="10">
        <v>1793.08</v>
      </c>
      <c r="W174" s="8">
        <v>773.18</v>
      </c>
      <c r="X174" s="8">
        <v>714</v>
      </c>
      <c r="Y174" s="8">
        <v>305.89999999999998</v>
      </c>
      <c r="Z174" s="8">
        <v>0</v>
      </c>
    </row>
    <row r="175" spans="1:26" ht="58.8" x14ac:dyDescent="0.3">
      <c r="A175" s="8" t="s">
        <v>27</v>
      </c>
      <c r="B175" s="8" t="s">
        <v>28</v>
      </c>
      <c r="C175" s="8" t="s">
        <v>29</v>
      </c>
      <c r="D175" s="8" t="s">
        <v>45</v>
      </c>
      <c r="E175" s="8" t="s">
        <v>46</v>
      </c>
      <c r="F175" s="8" t="s">
        <v>47</v>
      </c>
      <c r="G175" s="8">
        <v>2023</v>
      </c>
      <c r="H175" s="8" t="str">
        <f>CONCATENATE("34210025127")</f>
        <v>34210025127</v>
      </c>
      <c r="I175" s="8" t="s">
        <v>32</v>
      </c>
      <c r="J175" s="8" t="s">
        <v>33</v>
      </c>
      <c r="K175" s="8" t="str">
        <f t="shared" si="8"/>
        <v/>
      </c>
      <c r="L175" s="8" t="str">
        <f t="shared" si="10"/>
        <v>13 13.1 4a</v>
      </c>
      <c r="M175" s="8" t="str">
        <f>CONCATENATE("FRNDNL97H09B474U")</f>
        <v>FRNDNL97H09B474U</v>
      </c>
      <c r="N175" s="8" t="s">
        <v>259</v>
      </c>
      <c r="O175" s="8" t="s">
        <v>49</v>
      </c>
      <c r="P175" s="9">
        <v>45355</v>
      </c>
      <c r="Q175" s="8" t="s">
        <v>36</v>
      </c>
      <c r="R175" s="8" t="s">
        <v>37</v>
      </c>
      <c r="S175" s="8" t="s">
        <v>38</v>
      </c>
      <c r="T175" s="8"/>
      <c r="U175" s="8" t="s">
        <v>39</v>
      </c>
      <c r="V175" s="8">
        <v>52.52</v>
      </c>
      <c r="W175" s="8">
        <v>22.65</v>
      </c>
      <c r="X175" s="8">
        <v>20.91</v>
      </c>
      <c r="Y175" s="8">
        <v>8.9600000000000009</v>
      </c>
      <c r="Z175" s="8">
        <v>0</v>
      </c>
    </row>
    <row r="176" spans="1:26" ht="30" x14ac:dyDescent="0.3">
      <c r="A176" s="8" t="s">
        <v>27</v>
      </c>
      <c r="B176" s="8" t="s">
        <v>28</v>
      </c>
      <c r="C176" s="8" t="s">
        <v>29</v>
      </c>
      <c r="D176" s="8" t="s">
        <v>41</v>
      </c>
      <c r="E176" s="8" t="s">
        <v>71</v>
      </c>
      <c r="F176" s="8" t="s">
        <v>142</v>
      </c>
      <c r="G176" s="8">
        <v>2023</v>
      </c>
      <c r="H176" s="8" t="str">
        <f>CONCATENATE("34210036397")</f>
        <v>34210036397</v>
      </c>
      <c r="I176" s="8" t="s">
        <v>32</v>
      </c>
      <c r="J176" s="8" t="s">
        <v>33</v>
      </c>
      <c r="K176" s="8" t="str">
        <f t="shared" si="8"/>
        <v/>
      </c>
      <c r="L176" s="8" t="str">
        <f t="shared" si="10"/>
        <v>13 13.1 4a</v>
      </c>
      <c r="M176" s="8" t="str">
        <f>CONCATENATE("01425100417")</f>
        <v>01425100417</v>
      </c>
      <c r="N176" s="8" t="s">
        <v>260</v>
      </c>
      <c r="O176" s="8" t="s">
        <v>49</v>
      </c>
      <c r="P176" s="9">
        <v>45355</v>
      </c>
      <c r="Q176" s="8" t="s">
        <v>36</v>
      </c>
      <c r="R176" s="8" t="s">
        <v>37</v>
      </c>
      <c r="S176" s="8" t="s">
        <v>38</v>
      </c>
      <c r="T176" s="8"/>
      <c r="U176" s="8" t="s">
        <v>39</v>
      </c>
      <c r="V176" s="8">
        <v>952.77</v>
      </c>
      <c r="W176" s="8">
        <v>410.83</v>
      </c>
      <c r="X176" s="8">
        <v>379.39</v>
      </c>
      <c r="Y176" s="8">
        <v>162.55000000000001</v>
      </c>
      <c r="Z176" s="8">
        <v>0</v>
      </c>
    </row>
    <row r="177" spans="1:26" ht="49.2" x14ac:dyDescent="0.3">
      <c r="A177" s="8" t="s">
        <v>27</v>
      </c>
      <c r="B177" s="8" t="s">
        <v>28</v>
      </c>
      <c r="C177" s="8" t="s">
        <v>29</v>
      </c>
      <c r="D177" s="8" t="s">
        <v>52</v>
      </c>
      <c r="E177" s="8" t="s">
        <v>71</v>
      </c>
      <c r="F177" s="8" t="s">
        <v>95</v>
      </c>
      <c r="G177" s="8">
        <v>2023</v>
      </c>
      <c r="H177" s="8" t="str">
        <f>CONCATENATE("34210000187")</f>
        <v>34210000187</v>
      </c>
      <c r="I177" s="8" t="s">
        <v>32</v>
      </c>
      <c r="J177" s="8" t="s">
        <v>33</v>
      </c>
      <c r="K177" s="8" t="str">
        <f t="shared" si="8"/>
        <v/>
      </c>
      <c r="L177" s="8" t="str">
        <f t="shared" si="10"/>
        <v>13 13.1 4a</v>
      </c>
      <c r="M177" s="8" t="str">
        <f>CONCATENATE("SBBFNN49P09A366R")</f>
        <v>SBBFNN49P09A366R</v>
      </c>
      <c r="N177" s="8" t="s">
        <v>261</v>
      </c>
      <c r="O177" s="8" t="s">
        <v>49</v>
      </c>
      <c r="P177" s="9">
        <v>45355</v>
      </c>
      <c r="Q177" s="8" t="s">
        <v>36</v>
      </c>
      <c r="R177" s="8" t="s">
        <v>37</v>
      </c>
      <c r="S177" s="8" t="s">
        <v>38</v>
      </c>
      <c r="T177" s="8"/>
      <c r="U177" s="8" t="s">
        <v>39</v>
      </c>
      <c r="V177" s="8">
        <v>359.78</v>
      </c>
      <c r="W177" s="8">
        <v>155.13999999999999</v>
      </c>
      <c r="X177" s="8">
        <v>143.26</v>
      </c>
      <c r="Y177" s="8">
        <v>61.38</v>
      </c>
      <c r="Z177" s="8">
        <v>0</v>
      </c>
    </row>
    <row r="178" spans="1:26" ht="30" x14ac:dyDescent="0.3">
      <c r="A178" s="8" t="s">
        <v>27</v>
      </c>
      <c r="B178" s="8" t="s">
        <v>28</v>
      </c>
      <c r="C178" s="8" t="s">
        <v>29</v>
      </c>
      <c r="D178" s="8" t="s">
        <v>45</v>
      </c>
      <c r="E178" s="8" t="s">
        <v>42</v>
      </c>
      <c r="F178" s="8" t="s">
        <v>192</v>
      </c>
      <c r="G178" s="8">
        <v>2023</v>
      </c>
      <c r="H178" s="8" t="str">
        <f>CONCATENATE("34210339924")</f>
        <v>34210339924</v>
      </c>
      <c r="I178" s="8" t="s">
        <v>32</v>
      </c>
      <c r="J178" s="8" t="s">
        <v>33</v>
      </c>
      <c r="K178" s="8" t="str">
        <f t="shared" si="8"/>
        <v/>
      </c>
      <c r="L178" s="8" t="str">
        <f t="shared" si="10"/>
        <v>13 13.1 4a</v>
      </c>
      <c r="M178" s="8" t="str">
        <f>CONCATENATE("02825510544")</f>
        <v>02825510544</v>
      </c>
      <c r="N178" s="8" t="s">
        <v>262</v>
      </c>
      <c r="O178" s="8" t="s">
        <v>49</v>
      </c>
      <c r="P178" s="9">
        <v>45355</v>
      </c>
      <c r="Q178" s="8" t="s">
        <v>36</v>
      </c>
      <c r="R178" s="8" t="s">
        <v>37</v>
      </c>
      <c r="S178" s="8" t="s">
        <v>38</v>
      </c>
      <c r="T178" s="8"/>
      <c r="U178" s="8" t="s">
        <v>39</v>
      </c>
      <c r="V178" s="8">
        <v>117.79</v>
      </c>
      <c r="W178" s="8">
        <v>50.79</v>
      </c>
      <c r="X178" s="8">
        <v>46.9</v>
      </c>
      <c r="Y178" s="8">
        <v>20.100000000000001</v>
      </c>
      <c r="Z178" s="8">
        <v>0</v>
      </c>
    </row>
    <row r="179" spans="1:26" ht="30" x14ac:dyDescent="0.3">
      <c r="A179" s="8" t="s">
        <v>27</v>
      </c>
      <c r="B179" s="8" t="s">
        <v>28</v>
      </c>
      <c r="C179" s="8" t="s">
        <v>29</v>
      </c>
      <c r="D179" s="8" t="s">
        <v>41</v>
      </c>
      <c r="E179" s="8" t="s">
        <v>71</v>
      </c>
      <c r="F179" s="8" t="s">
        <v>142</v>
      </c>
      <c r="G179" s="8">
        <v>2023</v>
      </c>
      <c r="H179" s="8" t="str">
        <f>CONCATENATE("34210041637")</f>
        <v>34210041637</v>
      </c>
      <c r="I179" s="8" t="s">
        <v>32</v>
      </c>
      <c r="J179" s="8" t="s">
        <v>33</v>
      </c>
      <c r="K179" s="8" t="str">
        <f t="shared" si="8"/>
        <v/>
      </c>
      <c r="L179" s="8" t="str">
        <f t="shared" si="10"/>
        <v>13 13.1 4a</v>
      </c>
      <c r="M179" s="8" t="str">
        <f>CONCATENATE("02042020418")</f>
        <v>02042020418</v>
      </c>
      <c r="N179" s="8" t="s">
        <v>263</v>
      </c>
      <c r="O179" s="8" t="s">
        <v>49</v>
      </c>
      <c r="P179" s="9">
        <v>45355</v>
      </c>
      <c r="Q179" s="8" t="s">
        <v>36</v>
      </c>
      <c r="R179" s="8" t="s">
        <v>37</v>
      </c>
      <c r="S179" s="8" t="s">
        <v>38</v>
      </c>
      <c r="T179" s="8"/>
      <c r="U179" s="8" t="s">
        <v>39</v>
      </c>
      <c r="V179" s="8">
        <v>698.55</v>
      </c>
      <c r="W179" s="8">
        <v>301.20999999999998</v>
      </c>
      <c r="X179" s="8">
        <v>278.16000000000003</v>
      </c>
      <c r="Y179" s="8">
        <v>119.18</v>
      </c>
      <c r="Z179" s="8">
        <v>0</v>
      </c>
    </row>
    <row r="180" spans="1:26" ht="30" x14ac:dyDescent="0.3">
      <c r="A180" s="8" t="s">
        <v>27</v>
      </c>
      <c r="B180" s="8" t="s">
        <v>28</v>
      </c>
      <c r="C180" s="8" t="s">
        <v>29</v>
      </c>
      <c r="D180" s="8" t="s">
        <v>41</v>
      </c>
      <c r="E180" s="8" t="s">
        <v>46</v>
      </c>
      <c r="F180" s="8" t="s">
        <v>140</v>
      </c>
      <c r="G180" s="8">
        <v>2023</v>
      </c>
      <c r="H180" s="8" t="str">
        <f>CONCATENATE("34210000385")</f>
        <v>34210000385</v>
      </c>
      <c r="I180" s="8" t="s">
        <v>32</v>
      </c>
      <c r="J180" s="8" t="s">
        <v>33</v>
      </c>
      <c r="K180" s="8" t="str">
        <f t="shared" si="8"/>
        <v/>
      </c>
      <c r="L180" s="8" t="str">
        <f t="shared" si="10"/>
        <v>13 13.1 4a</v>
      </c>
      <c r="M180" s="8" t="str">
        <f>CONCATENATE("00460120413")</f>
        <v>00460120413</v>
      </c>
      <c r="N180" s="8" t="s">
        <v>264</v>
      </c>
      <c r="O180" s="8" t="s">
        <v>49</v>
      </c>
      <c r="P180" s="9">
        <v>45355</v>
      </c>
      <c r="Q180" s="8" t="s">
        <v>36</v>
      </c>
      <c r="R180" s="8" t="s">
        <v>37</v>
      </c>
      <c r="S180" s="8" t="s">
        <v>38</v>
      </c>
      <c r="T180" s="8"/>
      <c r="U180" s="8" t="s">
        <v>39</v>
      </c>
      <c r="V180" s="10">
        <v>8247.59</v>
      </c>
      <c r="W180" s="10">
        <v>3556.36</v>
      </c>
      <c r="X180" s="10">
        <v>3284.19</v>
      </c>
      <c r="Y180" s="10">
        <v>1407.04</v>
      </c>
      <c r="Z180" s="8">
        <v>0</v>
      </c>
    </row>
    <row r="181" spans="1:26" ht="58.8" x14ac:dyDescent="0.3">
      <c r="A181" s="8" t="s">
        <v>27</v>
      </c>
      <c r="B181" s="8" t="s">
        <v>28</v>
      </c>
      <c r="C181" s="8" t="s">
        <v>29</v>
      </c>
      <c r="D181" s="8" t="s">
        <v>52</v>
      </c>
      <c r="E181" s="8" t="s">
        <v>71</v>
      </c>
      <c r="F181" s="8" t="s">
        <v>95</v>
      </c>
      <c r="G181" s="8">
        <v>2023</v>
      </c>
      <c r="H181" s="8" t="str">
        <f>CONCATENATE("34210016043")</f>
        <v>34210016043</v>
      </c>
      <c r="I181" s="8" t="s">
        <v>32</v>
      </c>
      <c r="J181" s="8" t="s">
        <v>33</v>
      </c>
      <c r="K181" s="8" t="str">
        <f t="shared" si="8"/>
        <v/>
      </c>
      <c r="L181" s="8" t="str">
        <f t="shared" si="10"/>
        <v>13 13.1 4a</v>
      </c>
      <c r="M181" s="8" t="str">
        <f>CONCATENATE("RMGPRM44C31H576D")</f>
        <v>RMGPRM44C31H576D</v>
      </c>
      <c r="N181" s="8" t="s">
        <v>265</v>
      </c>
      <c r="O181" s="8" t="s">
        <v>49</v>
      </c>
      <c r="P181" s="9">
        <v>45355</v>
      </c>
      <c r="Q181" s="8" t="s">
        <v>36</v>
      </c>
      <c r="R181" s="8" t="s">
        <v>37</v>
      </c>
      <c r="S181" s="8" t="s">
        <v>38</v>
      </c>
      <c r="T181" s="8"/>
      <c r="U181" s="8" t="s">
        <v>39</v>
      </c>
      <c r="V181" s="10">
        <v>1924.43</v>
      </c>
      <c r="W181" s="8">
        <v>829.81</v>
      </c>
      <c r="X181" s="8">
        <v>766.31</v>
      </c>
      <c r="Y181" s="8">
        <v>328.31</v>
      </c>
      <c r="Z181" s="8">
        <v>0</v>
      </c>
    </row>
    <row r="182" spans="1:26" ht="49.2" x14ac:dyDescent="0.3">
      <c r="A182" s="8" t="s">
        <v>27</v>
      </c>
      <c r="B182" s="8" t="s">
        <v>28</v>
      </c>
      <c r="C182" s="8" t="s">
        <v>29</v>
      </c>
      <c r="D182" s="8" t="s">
        <v>52</v>
      </c>
      <c r="E182" s="8" t="s">
        <v>71</v>
      </c>
      <c r="F182" s="8" t="s">
        <v>95</v>
      </c>
      <c r="G182" s="8">
        <v>2023</v>
      </c>
      <c r="H182" s="8" t="str">
        <f>CONCATENATE("34210024419")</f>
        <v>34210024419</v>
      </c>
      <c r="I182" s="8" t="s">
        <v>32</v>
      </c>
      <c r="J182" s="8" t="s">
        <v>33</v>
      </c>
      <c r="K182" s="8" t="str">
        <f t="shared" si="8"/>
        <v/>
      </c>
      <c r="L182" s="8" t="str">
        <f t="shared" si="10"/>
        <v>13 13.1 4a</v>
      </c>
      <c r="M182" s="8" t="str">
        <f>CONCATENATE("PTRFRC86M02E388B")</f>
        <v>PTRFRC86M02E388B</v>
      </c>
      <c r="N182" s="8" t="s">
        <v>266</v>
      </c>
      <c r="O182" s="8" t="s">
        <v>49</v>
      </c>
      <c r="P182" s="9">
        <v>45355</v>
      </c>
      <c r="Q182" s="8" t="s">
        <v>36</v>
      </c>
      <c r="R182" s="8" t="s">
        <v>37</v>
      </c>
      <c r="S182" s="8" t="s">
        <v>38</v>
      </c>
      <c r="T182" s="8"/>
      <c r="U182" s="8" t="s">
        <v>39</v>
      </c>
      <c r="V182" s="8">
        <v>600.33000000000004</v>
      </c>
      <c r="W182" s="8">
        <v>258.86</v>
      </c>
      <c r="X182" s="8">
        <v>239.05</v>
      </c>
      <c r="Y182" s="8">
        <v>102.42</v>
      </c>
      <c r="Z182" s="8">
        <v>0</v>
      </c>
    </row>
    <row r="183" spans="1:26" ht="30" x14ac:dyDescent="0.3">
      <c r="A183" s="8" t="s">
        <v>27</v>
      </c>
      <c r="B183" s="8" t="s">
        <v>28</v>
      </c>
      <c r="C183" s="8" t="s">
        <v>29</v>
      </c>
      <c r="D183" s="8" t="s">
        <v>45</v>
      </c>
      <c r="E183" s="8" t="s">
        <v>46</v>
      </c>
      <c r="F183" s="8" t="s">
        <v>267</v>
      </c>
      <c r="G183" s="8">
        <v>2023</v>
      </c>
      <c r="H183" s="8" t="str">
        <f>CONCATENATE("34210057245")</f>
        <v>34210057245</v>
      </c>
      <c r="I183" s="8" t="s">
        <v>32</v>
      </c>
      <c r="J183" s="8" t="s">
        <v>33</v>
      </c>
      <c r="K183" s="8" t="str">
        <f t="shared" si="8"/>
        <v/>
      </c>
      <c r="L183" s="8" t="str">
        <f t="shared" si="10"/>
        <v>13 13.1 4a</v>
      </c>
      <c r="M183" s="8" t="str">
        <f>CONCATENATE("01990130435")</f>
        <v>01990130435</v>
      </c>
      <c r="N183" s="8" t="s">
        <v>268</v>
      </c>
      <c r="O183" s="8" t="s">
        <v>49</v>
      </c>
      <c r="P183" s="9">
        <v>45355</v>
      </c>
      <c r="Q183" s="8" t="s">
        <v>36</v>
      </c>
      <c r="R183" s="8" t="s">
        <v>37</v>
      </c>
      <c r="S183" s="8" t="s">
        <v>38</v>
      </c>
      <c r="T183" s="8"/>
      <c r="U183" s="8" t="s">
        <v>39</v>
      </c>
      <c r="V183" s="8">
        <v>838.77</v>
      </c>
      <c r="W183" s="8">
        <v>361.68</v>
      </c>
      <c r="X183" s="8">
        <v>334</v>
      </c>
      <c r="Y183" s="8">
        <v>143.09</v>
      </c>
      <c r="Z183" s="8">
        <v>0</v>
      </c>
    </row>
    <row r="184" spans="1:26" ht="49.2" x14ac:dyDescent="0.3">
      <c r="A184" s="8" t="s">
        <v>27</v>
      </c>
      <c r="B184" s="8" t="s">
        <v>28</v>
      </c>
      <c r="C184" s="8" t="s">
        <v>29</v>
      </c>
      <c r="D184" s="8" t="s">
        <v>41</v>
      </c>
      <c r="E184" s="8" t="s">
        <v>46</v>
      </c>
      <c r="F184" s="8" t="s">
        <v>140</v>
      </c>
      <c r="G184" s="8">
        <v>2023</v>
      </c>
      <c r="H184" s="8" t="str">
        <f>CONCATENATE("34210006309")</f>
        <v>34210006309</v>
      </c>
      <c r="I184" s="8" t="s">
        <v>32</v>
      </c>
      <c r="J184" s="8" t="s">
        <v>33</v>
      </c>
      <c r="K184" s="8" t="str">
        <f t="shared" si="8"/>
        <v/>
      </c>
      <c r="L184" s="8" t="str">
        <f t="shared" si="10"/>
        <v>13 13.1 4a</v>
      </c>
      <c r="M184" s="8" t="str">
        <f>CONCATENATE("CCCGGN68P50I459R")</f>
        <v>CCCGGN68P50I459R</v>
      </c>
      <c r="N184" s="8" t="s">
        <v>269</v>
      </c>
      <c r="O184" s="8" t="s">
        <v>49</v>
      </c>
      <c r="P184" s="9">
        <v>45355</v>
      </c>
      <c r="Q184" s="8" t="s">
        <v>36</v>
      </c>
      <c r="R184" s="8" t="s">
        <v>37</v>
      </c>
      <c r="S184" s="8" t="s">
        <v>38</v>
      </c>
      <c r="T184" s="8"/>
      <c r="U184" s="8" t="s">
        <v>39</v>
      </c>
      <c r="V184" s="8">
        <v>291.41000000000003</v>
      </c>
      <c r="W184" s="8">
        <v>125.66</v>
      </c>
      <c r="X184" s="8">
        <v>116.04</v>
      </c>
      <c r="Y184" s="8">
        <v>49.71</v>
      </c>
      <c r="Z184" s="8">
        <v>0</v>
      </c>
    </row>
    <row r="185" spans="1:26" ht="49.2" x14ac:dyDescent="0.3">
      <c r="A185" s="8" t="s">
        <v>27</v>
      </c>
      <c r="B185" s="8" t="s">
        <v>28</v>
      </c>
      <c r="C185" s="8" t="s">
        <v>29</v>
      </c>
      <c r="D185" s="8" t="s">
        <v>52</v>
      </c>
      <c r="E185" s="8" t="s">
        <v>71</v>
      </c>
      <c r="F185" s="8" t="s">
        <v>95</v>
      </c>
      <c r="G185" s="8">
        <v>2023</v>
      </c>
      <c r="H185" s="8" t="str">
        <f>CONCATENATE("34210081864")</f>
        <v>34210081864</v>
      </c>
      <c r="I185" s="8" t="s">
        <v>32</v>
      </c>
      <c r="J185" s="8" t="s">
        <v>33</v>
      </c>
      <c r="K185" s="8" t="str">
        <f t="shared" si="8"/>
        <v/>
      </c>
      <c r="L185" s="8" t="str">
        <f t="shared" si="10"/>
        <v>13 13.1 4a</v>
      </c>
      <c r="M185" s="8" t="str">
        <f>CONCATENATE("MNCVBR60D02I461U")</f>
        <v>MNCVBR60D02I461U</v>
      </c>
      <c r="N185" s="8" t="s">
        <v>270</v>
      </c>
      <c r="O185" s="8" t="s">
        <v>49</v>
      </c>
      <c r="P185" s="9">
        <v>45355</v>
      </c>
      <c r="Q185" s="8" t="s">
        <v>36</v>
      </c>
      <c r="R185" s="8" t="s">
        <v>37</v>
      </c>
      <c r="S185" s="8" t="s">
        <v>38</v>
      </c>
      <c r="T185" s="8"/>
      <c r="U185" s="8" t="s">
        <v>39</v>
      </c>
      <c r="V185" s="10">
        <v>3520.28</v>
      </c>
      <c r="W185" s="10">
        <v>1517.94</v>
      </c>
      <c r="X185" s="10">
        <v>1401.78</v>
      </c>
      <c r="Y185" s="8">
        <v>600.55999999999995</v>
      </c>
      <c r="Z185" s="8">
        <v>0</v>
      </c>
    </row>
    <row r="186" spans="1:26" ht="49.2" x14ac:dyDescent="0.3">
      <c r="A186" s="8" t="s">
        <v>27</v>
      </c>
      <c r="B186" s="8" t="s">
        <v>28</v>
      </c>
      <c r="C186" s="8" t="s">
        <v>29</v>
      </c>
      <c r="D186" s="8" t="s">
        <v>52</v>
      </c>
      <c r="E186" s="8" t="s">
        <v>46</v>
      </c>
      <c r="F186" s="8" t="s">
        <v>55</v>
      </c>
      <c r="G186" s="8">
        <v>2023</v>
      </c>
      <c r="H186" s="8" t="str">
        <f>CONCATENATE("34210089032")</f>
        <v>34210089032</v>
      </c>
      <c r="I186" s="8" t="s">
        <v>32</v>
      </c>
      <c r="J186" s="8" t="s">
        <v>33</v>
      </c>
      <c r="K186" s="8" t="str">
        <f t="shared" si="8"/>
        <v/>
      </c>
      <c r="L186" s="8" t="str">
        <f>CONCATENATE("13 13.1 4a")</f>
        <v>13 13.1 4a</v>
      </c>
      <c r="M186" s="8" t="str">
        <f>CONCATENATE("BRBFRZ63T27D451T")</f>
        <v>BRBFRZ63T27D451T</v>
      </c>
      <c r="N186" s="8" t="s">
        <v>271</v>
      </c>
      <c r="O186" s="8" t="s">
        <v>49</v>
      </c>
      <c r="P186" s="9">
        <v>45355</v>
      </c>
      <c r="Q186" s="8" t="s">
        <v>36</v>
      </c>
      <c r="R186" s="8" t="s">
        <v>37</v>
      </c>
      <c r="S186" s="8" t="s">
        <v>38</v>
      </c>
      <c r="T186" s="8"/>
      <c r="U186" s="8" t="s">
        <v>39</v>
      </c>
      <c r="V186" s="8">
        <v>335.59</v>
      </c>
      <c r="W186" s="8">
        <v>144.71</v>
      </c>
      <c r="X186" s="8">
        <v>133.63</v>
      </c>
      <c r="Y186" s="8">
        <v>57.25</v>
      </c>
      <c r="Z186" s="8">
        <v>0</v>
      </c>
    </row>
    <row r="187" spans="1:26" ht="49.2" x14ac:dyDescent="0.3">
      <c r="A187" s="8" t="s">
        <v>27</v>
      </c>
      <c r="B187" s="8" t="s">
        <v>28</v>
      </c>
      <c r="C187" s="8" t="s">
        <v>29</v>
      </c>
      <c r="D187" s="8" t="s">
        <v>45</v>
      </c>
      <c r="E187" s="8" t="s">
        <v>46</v>
      </c>
      <c r="F187" s="8" t="s">
        <v>50</v>
      </c>
      <c r="G187" s="8">
        <v>2023</v>
      </c>
      <c r="H187" s="8" t="str">
        <f>CONCATENATE("34210064357")</f>
        <v>34210064357</v>
      </c>
      <c r="I187" s="8" t="s">
        <v>32</v>
      </c>
      <c r="J187" s="8" t="s">
        <v>33</v>
      </c>
      <c r="K187" s="8" t="str">
        <f t="shared" si="8"/>
        <v/>
      </c>
      <c r="L187" s="8" t="str">
        <f>CONCATENATE("13 13.1 4a")</f>
        <v>13 13.1 4a</v>
      </c>
      <c r="M187" s="8" t="str">
        <f>CONCATENATE("GNNTSN47A61A031P")</f>
        <v>GNNTSN47A61A031P</v>
      </c>
      <c r="N187" s="8" t="s">
        <v>272</v>
      </c>
      <c r="O187" s="8" t="s">
        <v>49</v>
      </c>
      <c r="P187" s="9">
        <v>45355</v>
      </c>
      <c r="Q187" s="8" t="s">
        <v>36</v>
      </c>
      <c r="R187" s="8" t="s">
        <v>37</v>
      </c>
      <c r="S187" s="8" t="s">
        <v>38</v>
      </c>
      <c r="T187" s="8"/>
      <c r="U187" s="8" t="s">
        <v>39</v>
      </c>
      <c r="V187" s="8">
        <v>725.41</v>
      </c>
      <c r="W187" s="8">
        <v>312.8</v>
      </c>
      <c r="X187" s="8">
        <v>288.86</v>
      </c>
      <c r="Y187" s="8">
        <v>123.75</v>
      </c>
      <c r="Z187" s="8">
        <v>0</v>
      </c>
    </row>
    <row r="188" spans="1:26" ht="49.2" x14ac:dyDescent="0.3">
      <c r="A188" s="8" t="s">
        <v>27</v>
      </c>
      <c r="B188" s="8" t="s">
        <v>28</v>
      </c>
      <c r="C188" s="8" t="s">
        <v>29</v>
      </c>
      <c r="D188" s="8" t="s">
        <v>30</v>
      </c>
      <c r="E188" s="8" t="s">
        <v>46</v>
      </c>
      <c r="F188" s="8" t="s">
        <v>104</v>
      </c>
      <c r="G188" s="8">
        <v>2023</v>
      </c>
      <c r="H188" s="8" t="str">
        <f>CONCATENATE("34210009048")</f>
        <v>34210009048</v>
      </c>
      <c r="I188" s="8" t="s">
        <v>32</v>
      </c>
      <c r="J188" s="8" t="s">
        <v>33</v>
      </c>
      <c r="K188" s="8" t="str">
        <f t="shared" si="8"/>
        <v/>
      </c>
      <c r="L188" s="8" t="str">
        <f>CONCATENATE("13 13.1 4a")</f>
        <v>13 13.1 4a</v>
      </c>
      <c r="M188" s="8" t="str">
        <f>CONCATENATE("BNCSVR53R13L295D")</f>
        <v>BNCSVR53R13L295D</v>
      </c>
      <c r="N188" s="8" t="s">
        <v>273</v>
      </c>
      <c r="O188" s="8" t="s">
        <v>49</v>
      </c>
      <c r="P188" s="9">
        <v>45355</v>
      </c>
      <c r="Q188" s="8" t="s">
        <v>36</v>
      </c>
      <c r="R188" s="8" t="s">
        <v>37</v>
      </c>
      <c r="S188" s="8" t="s">
        <v>38</v>
      </c>
      <c r="T188" s="8"/>
      <c r="U188" s="8" t="s">
        <v>39</v>
      </c>
      <c r="V188" s="10">
        <v>4046.2</v>
      </c>
      <c r="W188" s="10">
        <v>1744.72</v>
      </c>
      <c r="X188" s="10">
        <v>1611.2</v>
      </c>
      <c r="Y188" s="8">
        <v>690.28</v>
      </c>
      <c r="Z188" s="8">
        <v>0</v>
      </c>
    </row>
  </sheetData>
  <mergeCells count="1">
    <mergeCell ref="A2:Z2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MARCHE</vt:lpstr>
    </vt:vector>
  </TitlesOfParts>
  <Company>AgEA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Greco Giancarlo</dc:creator>
  <cp:lastModifiedBy>Greco Giancarlo</cp:lastModifiedBy>
  <dcterms:created xsi:type="dcterms:W3CDTF">2024-03-05T16:15:46Z</dcterms:created>
  <dcterms:modified xsi:type="dcterms:W3CDTF">2024-03-05T16:15:47Z</dcterms:modified>
</cp:coreProperties>
</file>