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54/"/>
    </mc:Choice>
  </mc:AlternateContent>
  <xr:revisionPtr revIDLastSave="0" documentId="8_{81F1939A-0EF2-4581-AC57-C0DE7F0AD10E}" xr6:coauthVersionLast="47" xr6:coauthVersionMax="47" xr10:uidLastSave="{00000000-0000-0000-0000-000000000000}"/>
  <bookViews>
    <workbookView xWindow="-110" yWindow="-110" windowWidth="19420" windowHeight="10420" xr2:uid="{F2C11917-D8C8-46BD-83DB-69E6AA29C51A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4" i="1" l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<sst xmlns="http://schemas.openxmlformats.org/spreadsheetml/2006/main" count="881" uniqueCount="137">
  <si>
    <t>Dettaglio Domande Pagabili Decreto 554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</si>
  <si>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</si>
  <si>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</si>
  <si>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</si>
  <si>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</si>
  <si>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</si>
  <si>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</si>
  <si>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</si>
  <si>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</si>
  <si>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</si>
  <si>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</si>
  <si>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</si>
  <si>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</si>
  <si>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</si>
  <si>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</si>
  <si>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</si>
  <si>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</si>
  <si>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</si>
  <si>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</si>
  <si>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</si>
  <si>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</si>
  <si>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</si>
  <si>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</si>
  <si>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</si>
  <si>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</si>
  <si>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</si>
  <si>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</si>
  <si>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</si>
  <si>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</si>
  <si>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CIA srl</t>
  </si>
  <si>
    <t>NO</t>
  </si>
  <si>
    <t>In Liquidazione</t>
  </si>
  <si>
    <t>Saldo</t>
  </si>
  <si>
    <t>Co-Finanziato</t>
  </si>
  <si>
    <t>Ordinario</t>
  </si>
  <si>
    <t>CAA Coldiretti srl</t>
  </si>
  <si>
    <t>CAA Confagricoltura srl</t>
  </si>
  <si>
    <t>Misure Strutturali</t>
  </si>
  <si>
    <t>Nuova Programmazione</t>
  </si>
  <si>
    <t>IN PROPRIO</t>
  </si>
  <si>
    <t>CAA LiberiAgricoltori srl già CAA AGCI srl</t>
  </si>
  <si>
    <t>SI</t>
  </si>
  <si>
    <t>CAA UNICAA srl</t>
  </si>
  <si>
    <t>CAA AGRISERVIZI s.r.l.</t>
  </si>
  <si>
    <t>SAL</t>
  </si>
  <si>
    <t>CAA-CAF AGRI S.R.L.</t>
  </si>
  <si>
    <t>CAA C.A.N.A.P.A. srl</t>
  </si>
  <si>
    <t>MARCHE</t>
  </si>
  <si>
    <t>BIKE THERAPY SRLS</t>
  </si>
  <si>
    <t>AGEA.ASR.2022.0789863</t>
  </si>
  <si>
    <t>E-YUMMY S.R.L.</t>
  </si>
  <si>
    <t>RAVAIOLI MIRCO</t>
  </si>
  <si>
    <t>TERRE DI GIO' S.R.L.S.</t>
  </si>
  <si>
    <t>SERV. DEC. AGRICOLTURA E ALIM. - MACERATA</t>
  </si>
  <si>
    <t>CAA Coldiretti - MACERATA - 017</t>
  </si>
  <si>
    <t>FABRIZI FAUSTO</t>
  </si>
  <si>
    <t>AGEA.ASR.2022.0801209</t>
  </si>
  <si>
    <t>CAA LiberiAgricoltori - MACERATA - 005</t>
  </si>
  <si>
    <t>MARI ANDREA</t>
  </si>
  <si>
    <t>SERV. DEC. AGRICOLTURA E ALIMENTAZIONE - ANCONA</t>
  </si>
  <si>
    <t>SOCIETA' AGRICOLA LUZI GIANLUIGI E ANDREA S.S.</t>
  </si>
  <si>
    <t>SOCIETA AGRICOLA TERRA MADRE S.S.</t>
  </si>
  <si>
    <t>SERV. DEC. AGRICOLTURA E ALIM. -ASCOLI PICENO</t>
  </si>
  <si>
    <t>CAA CIA - ASCOLI PICENO - 001</t>
  </si>
  <si>
    <t>VAGNONI LILIANA</t>
  </si>
  <si>
    <t>FIORINI MARCO</t>
  </si>
  <si>
    <t>SOCIETA' AGRICOLA VILLANOVA S.S.</t>
  </si>
  <si>
    <t>CAA LiberiAgricoltori - MACERATA - 001</t>
  </si>
  <si>
    <t>CIPOLLETTI ANDREA</t>
  </si>
  <si>
    <t>CAA UNICAA - ASCOLI PICENO - 004</t>
  </si>
  <si>
    <t>MICHELI ROSELLA</t>
  </si>
  <si>
    <t>AGEA.ASR.2022.0782757</t>
  </si>
  <si>
    <t>MICOZZI LUCA</t>
  </si>
  <si>
    <t>SERV. DEC. AGRICOLTURA E ALIMENTAZIONE - PESARO</t>
  </si>
  <si>
    <t>TENAGLIA MAURA</t>
  </si>
  <si>
    <t>TENUTA IL SOLE E LA VITE SOCIETA' AGRICOLA SEMPLICE</t>
  </si>
  <si>
    <t>VITIVINICOLA COSTADORO SOCIETA' AGRICOLA S.R.L.</t>
  </si>
  <si>
    <t>CAA Coldiretti - FERMO - 001</t>
  </si>
  <si>
    <t>PULCINI BRUNO</t>
  </si>
  <si>
    <t>AGEA.ASR.2022.0787565</t>
  </si>
  <si>
    <t>CAA LiberiAgricoltori - PESARO E URBINO - 002</t>
  </si>
  <si>
    <t>ROMITI MARIKA</t>
  </si>
  <si>
    <t>AGEA.ASR.2022.0788109</t>
  </si>
  <si>
    <t>CAA Coldiretti - PESARO E URBINO - 001</t>
  </si>
  <si>
    <t>CINI MARACCI NICANDRO</t>
  </si>
  <si>
    <t>CAA Confagricoltura - PESARO E URBINO - 001</t>
  </si>
  <si>
    <t>BATTISTONI PAOLO ADRIANO</t>
  </si>
  <si>
    <t>CAA CIA - PESARO E URBINO - 005</t>
  </si>
  <si>
    <t>BARUFFI IVANA</t>
  </si>
  <si>
    <t>MENCONI EVERARDO</t>
  </si>
  <si>
    <t>CAA C.A.N.A.P.A. - FORLI' - CESENA - 003</t>
  </si>
  <si>
    <t>SOCIETA' AGRICOLA - AGRITURISTICA GIANNINI E CARUSO S.S.</t>
  </si>
  <si>
    <t>CAA LiberiAgricoltori - MACERATA - 003</t>
  </si>
  <si>
    <t>CARAFFA POMPONIO</t>
  </si>
  <si>
    <t>AGEA.ASR.2022.0790309</t>
  </si>
  <si>
    <t>CAA LiberiAgricoltori - MACERATA - 002</t>
  </si>
  <si>
    <t>SOCIETA' AGRICOLA VALLE DI RAGGIANO S.A.S. DI CAGNINI FABRIZIO &amp; C.</t>
  </si>
  <si>
    <t>CAA CIA - ANCONA - 005</t>
  </si>
  <si>
    <t>CAA LiberiAgricoltori - MACERATA - 004</t>
  </si>
  <si>
    <t>PETETTA ATTILIO</t>
  </si>
  <si>
    <t>PANTALEONI GIULIANA</t>
  </si>
  <si>
    <t>AGEA.ASR.2022.0800925</t>
  </si>
  <si>
    <t>SOCIETA' AGRICOLA LE ARCELLE DI PAZZAGLIA GIUSEPPINA &amp; C.SNC</t>
  </si>
  <si>
    <t>CAA CIA - ANCONA - 002</t>
  </si>
  <si>
    <t>COLO' OTTORINO</t>
  </si>
  <si>
    <t>AGEA.ASR.2022.0793166</t>
  </si>
  <si>
    <t>CAA Coldiretti - CREMONA - 004</t>
  </si>
  <si>
    <t>SOCIETA' AGRICOLA BIOLOGICA DEL PARCO SRL</t>
  </si>
  <si>
    <t>CAA CIA - BRESCIA - 007</t>
  </si>
  <si>
    <t>LA VALLE SOCIETA' AGRICOLA DI PEZZOLA S.S.</t>
  </si>
  <si>
    <t>CAA Confagricoltura - ANCONA - 001</t>
  </si>
  <si>
    <t>AZIENDA VINICOLA UMANI RONCHI SPA</t>
  </si>
  <si>
    <t>AGEA.ASR.2022.0791974</t>
  </si>
  <si>
    <t>PARIS MICHELA</t>
  </si>
  <si>
    <t>CAA Coldiretti - ASCOLI PICENO - 010</t>
  </si>
  <si>
    <t>LAURI FABIO</t>
  </si>
  <si>
    <t>CAA LiberiAgricoltori - RIMINI - 001</t>
  </si>
  <si>
    <t>GABRIELLI SOCIETA' AGRICOLA S.R.L.</t>
  </si>
  <si>
    <t>AGEA.ASR.2022.0791978</t>
  </si>
  <si>
    <t>BROCCOLI MARIO</t>
  </si>
  <si>
    <t>CAA Coldiretti - PESARO E URBINO - 013</t>
  </si>
  <si>
    <t>MANOCCHI ANTHONY</t>
  </si>
  <si>
    <t>NOBILI MAURO</t>
  </si>
  <si>
    <t>POLIDORI FRANCO</t>
  </si>
  <si>
    <t>CAA CAF AGRI - MACERATA - 227</t>
  </si>
  <si>
    <t>MAZZIERI ROSANNA</t>
  </si>
  <si>
    <t>CAA Coldiretti - MACERATA - 007</t>
  </si>
  <si>
    <t>SOC.AGR.VILLA LE CASE DI ARNAUTOVICI C.</t>
  </si>
  <si>
    <t>FONTEABETI SOCIETA' AGRICOLA S.R.L.</t>
  </si>
  <si>
    <t>SENZACQUA BARBARA</t>
  </si>
  <si>
    <t>SOCIETA' AGRICOLA SAN BIAGIO S.R.L.</t>
  </si>
  <si>
    <t>CAA AGRISERVIZI - LATINA - 001</t>
  </si>
  <si>
    <t>BRANDIMARTI MAGDA</t>
  </si>
  <si>
    <t>PETRELLI CARNI SOCIETA' AGRICOLA SEMPLICE</t>
  </si>
  <si>
    <t>AGEA.ASR.2022.0793463</t>
  </si>
  <si>
    <t>AGEA.ASR.2022.0798180</t>
  </si>
  <si>
    <t>MAZZALUPI GIULIANO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</si>
</sst>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D5CE6-2A0A-4AAE-89AC-A010EDDF46F0}">
  <dimension ref="A1:Z64"/>
  <sheetViews>
    <sheetView showGridLines="0" tabSelected="1" workbookViewId="0">
      <selection activeCell="F70" sqref="F70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5429687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37</v>
      </c>
      <c r="C4" s="7" t="s">
        <v>47</v>
      </c>
      <c r="D4" s="7" t="s">
        <v>47</v>
      </c>
      <c r="E4" s="7" t="s">
        <v>39</v>
      </c>
      <c r="F4" s="7" t="s">
        <v>39</v>
      </c>
      <c r="G4" s="7">
        <v>2017</v>
      </c>
      <c r="H4" s="7" t="str">
        <f>CONCATENATE("14270364491")</f>
        <v>14270364491</v>
      </c>
      <c r="I4" s="7" t="s">
        <v>30</v>
      </c>
      <c r="J4" s="7" t="s">
        <v>38</v>
      </c>
      <c r="K4" s="7" t="str">
        <f>CONCATENATE("")</f>
        <v/>
      </c>
      <c r="L4" s="7" t="str">
        <f>CONCATENATE("19 19.2 6b")</f>
        <v>19 19.2 6b</v>
      </c>
      <c r="M4" s="7" t="str">
        <f>CONCATENATE("02663300412")</f>
        <v>02663300412</v>
      </c>
      <c r="N4" s="7" t="s">
        <v>48</v>
      </c>
      <c r="O4" s="7" t="s">
        <v>49</v>
      </c>
      <c r="P4" s="8">
        <v>44735</v>
      </c>
      <c r="Q4" s="7" t="s">
        <v>31</v>
      </c>
      <c r="R4" s="7" t="s">
        <v>44</v>
      </c>
      <c r="S4" s="7" t="s">
        <v>33</v>
      </c>
      <c r="T4" s="7"/>
      <c r="U4" s="7" t="s">
        <v>34</v>
      </c>
      <c r="V4" s="9">
        <v>15000</v>
      </c>
      <c r="W4" s="9">
        <v>6468</v>
      </c>
      <c r="X4" s="9">
        <v>5973</v>
      </c>
      <c r="Y4" s="7">
        <v>0</v>
      </c>
      <c r="Z4" s="9">
        <v>2559</v>
      </c>
    </row>
    <row r="5" spans="1:26" x14ac:dyDescent="0.35">
      <c r="A5" s="7" t="s">
        <v>27</v>
      </c>
      <c r="B5" s="7" t="s">
        <v>37</v>
      </c>
      <c r="C5" s="7" t="s">
        <v>47</v>
      </c>
      <c r="D5" s="7" t="s">
        <v>47</v>
      </c>
      <c r="E5" s="7" t="s">
        <v>39</v>
      </c>
      <c r="F5" s="7" t="s">
        <v>39</v>
      </c>
      <c r="G5" s="7">
        <v>2017</v>
      </c>
      <c r="H5" s="7" t="str">
        <f>CONCATENATE("14270364509")</f>
        <v>14270364509</v>
      </c>
      <c r="I5" s="7" t="s">
        <v>30</v>
      </c>
      <c r="J5" s="7" t="s">
        <v>38</v>
      </c>
      <c r="K5" s="7" t="str">
        <f>CONCATENATE("")</f>
        <v/>
      </c>
      <c r="L5" s="7" t="str">
        <f>CONCATENATE("19 19.2 6b")</f>
        <v>19 19.2 6b</v>
      </c>
      <c r="M5" s="7" t="str">
        <f>CONCATENATE("02746440417")</f>
        <v>02746440417</v>
      </c>
      <c r="N5" s="7" t="s">
        <v>50</v>
      </c>
      <c r="O5" s="7" t="s">
        <v>49</v>
      </c>
      <c r="P5" s="8">
        <v>44735</v>
      </c>
      <c r="Q5" s="7" t="s">
        <v>31</v>
      </c>
      <c r="R5" s="7" t="s">
        <v>44</v>
      </c>
      <c r="S5" s="7" t="s">
        <v>33</v>
      </c>
      <c r="T5" s="7"/>
      <c r="U5" s="7" t="s">
        <v>34</v>
      </c>
      <c r="V5" s="9">
        <v>15000</v>
      </c>
      <c r="W5" s="9">
        <v>6468</v>
      </c>
      <c r="X5" s="9">
        <v>5973</v>
      </c>
      <c r="Y5" s="7">
        <v>0</v>
      </c>
      <c r="Z5" s="9">
        <v>2559</v>
      </c>
    </row>
    <row r="6" spans="1:26" x14ac:dyDescent="0.35">
      <c r="A6" s="7" t="s">
        <v>27</v>
      </c>
      <c r="B6" s="7" t="s">
        <v>37</v>
      </c>
      <c r="C6" s="7" t="s">
        <v>47</v>
      </c>
      <c r="D6" s="7" t="s">
        <v>47</v>
      </c>
      <c r="E6" s="7" t="s">
        <v>39</v>
      </c>
      <c r="F6" s="7" t="s">
        <v>39</v>
      </c>
      <c r="G6" s="7">
        <v>2017</v>
      </c>
      <c r="H6" s="7" t="str">
        <f>CONCATENATE("14270364525")</f>
        <v>14270364525</v>
      </c>
      <c r="I6" s="7" t="s">
        <v>30</v>
      </c>
      <c r="J6" s="7" t="s">
        <v>38</v>
      </c>
      <c r="K6" s="7" t="str">
        <f>CONCATENATE("")</f>
        <v/>
      </c>
      <c r="L6" s="7" t="str">
        <f>CONCATENATE("19 19.2 6b")</f>
        <v>19 19.2 6b</v>
      </c>
      <c r="M6" s="7" t="str">
        <f>CONCATENATE("RVLMRC75A17G453T")</f>
        <v>RVLMRC75A17G453T</v>
      </c>
      <c r="N6" s="7" t="s">
        <v>51</v>
      </c>
      <c r="O6" s="7" t="s">
        <v>49</v>
      </c>
      <c r="P6" s="8">
        <v>44735</v>
      </c>
      <c r="Q6" s="7" t="s">
        <v>31</v>
      </c>
      <c r="R6" s="7" t="s">
        <v>44</v>
      </c>
      <c r="S6" s="7" t="s">
        <v>33</v>
      </c>
      <c r="T6" s="7"/>
      <c r="U6" s="7" t="s">
        <v>34</v>
      </c>
      <c r="V6" s="9">
        <v>15000</v>
      </c>
      <c r="W6" s="9">
        <v>6468</v>
      </c>
      <c r="X6" s="9">
        <v>5973</v>
      </c>
      <c r="Y6" s="7">
        <v>0</v>
      </c>
      <c r="Z6" s="9">
        <v>2559</v>
      </c>
    </row>
    <row r="7" spans="1:26" x14ac:dyDescent="0.35">
      <c r="A7" s="7" t="s">
        <v>27</v>
      </c>
      <c r="B7" s="7" t="s">
        <v>37</v>
      </c>
      <c r="C7" s="7" t="s">
        <v>47</v>
      </c>
      <c r="D7" s="7" t="s">
        <v>47</v>
      </c>
      <c r="E7" s="7" t="s">
        <v>39</v>
      </c>
      <c r="F7" s="7" t="s">
        <v>39</v>
      </c>
      <c r="G7" s="7">
        <v>2017</v>
      </c>
      <c r="H7" s="7" t="str">
        <f>CONCATENATE("14270364517")</f>
        <v>14270364517</v>
      </c>
      <c r="I7" s="7" t="s">
        <v>30</v>
      </c>
      <c r="J7" s="7" t="s">
        <v>38</v>
      </c>
      <c r="K7" s="7" t="str">
        <f>CONCATENATE("")</f>
        <v/>
      </c>
      <c r="L7" s="7" t="str">
        <f>CONCATENATE("19 19.2 6b")</f>
        <v>19 19.2 6b</v>
      </c>
      <c r="M7" s="7" t="str">
        <f>CONCATENATE("02758030411")</f>
        <v>02758030411</v>
      </c>
      <c r="N7" s="7" t="s">
        <v>52</v>
      </c>
      <c r="O7" s="7" t="s">
        <v>49</v>
      </c>
      <c r="P7" s="8">
        <v>44735</v>
      </c>
      <c r="Q7" s="7" t="s">
        <v>31</v>
      </c>
      <c r="R7" s="7" t="s">
        <v>44</v>
      </c>
      <c r="S7" s="7" t="s">
        <v>33</v>
      </c>
      <c r="T7" s="7"/>
      <c r="U7" s="7" t="s">
        <v>34</v>
      </c>
      <c r="V7" s="9">
        <v>12500</v>
      </c>
      <c r="W7" s="9">
        <v>5390</v>
      </c>
      <c r="X7" s="9">
        <v>4977.5</v>
      </c>
      <c r="Y7" s="7">
        <v>0</v>
      </c>
      <c r="Z7" s="9">
        <v>2132.5</v>
      </c>
    </row>
    <row r="8" spans="1:26" x14ac:dyDescent="0.35">
      <c r="A8" s="7" t="s">
        <v>27</v>
      </c>
      <c r="B8" s="7" t="s">
        <v>28</v>
      </c>
      <c r="C8" s="7" t="s">
        <v>47</v>
      </c>
      <c r="D8" s="7" t="s">
        <v>53</v>
      </c>
      <c r="E8" s="7" t="s">
        <v>35</v>
      </c>
      <c r="F8" s="7" t="s">
        <v>54</v>
      </c>
      <c r="G8" s="7">
        <v>2021</v>
      </c>
      <c r="H8" s="7" t="str">
        <f>CONCATENATE("14241229252")</f>
        <v>14241229252</v>
      </c>
      <c r="I8" s="7" t="s">
        <v>41</v>
      </c>
      <c r="J8" s="7" t="s">
        <v>38</v>
      </c>
      <c r="K8" s="7" t="str">
        <f>CONCATENATE("")</f>
        <v/>
      </c>
      <c r="L8" s="7" t="str">
        <f>CONCATENATE("11 11.2 4b")</f>
        <v>11 11.2 4b</v>
      </c>
      <c r="M8" s="7" t="str">
        <f>CONCATENATE("FBRFST81T23B474X")</f>
        <v>FBRFST81T23B474X</v>
      </c>
      <c r="N8" s="7" t="s">
        <v>55</v>
      </c>
      <c r="O8" s="7" t="s">
        <v>56</v>
      </c>
      <c r="P8" s="8">
        <v>44739</v>
      </c>
      <c r="Q8" s="7" t="s">
        <v>31</v>
      </c>
      <c r="R8" s="7" t="s">
        <v>32</v>
      </c>
      <c r="S8" s="7" t="s">
        <v>33</v>
      </c>
      <c r="T8" s="7"/>
      <c r="U8" s="7" t="s">
        <v>34</v>
      </c>
      <c r="V8" s="9">
        <v>3819.05</v>
      </c>
      <c r="W8" s="9">
        <v>1646.77</v>
      </c>
      <c r="X8" s="9">
        <v>1520.75</v>
      </c>
      <c r="Y8" s="7">
        <v>0</v>
      </c>
      <c r="Z8" s="7">
        <v>651.53</v>
      </c>
    </row>
    <row r="9" spans="1:26" x14ac:dyDescent="0.35">
      <c r="A9" s="7" t="s">
        <v>27</v>
      </c>
      <c r="B9" s="7" t="s">
        <v>28</v>
      </c>
      <c r="C9" s="7" t="s">
        <v>47</v>
      </c>
      <c r="D9" s="7" t="s">
        <v>53</v>
      </c>
      <c r="E9" s="7" t="s">
        <v>40</v>
      </c>
      <c r="F9" s="7" t="s">
        <v>57</v>
      </c>
      <c r="G9" s="7">
        <v>2021</v>
      </c>
      <c r="H9" s="7" t="str">
        <f>CONCATENATE("14240960022")</f>
        <v>14240960022</v>
      </c>
      <c r="I9" s="7" t="s">
        <v>30</v>
      </c>
      <c r="J9" s="7" t="s">
        <v>38</v>
      </c>
      <c r="K9" s="7" t="str">
        <f>CONCATENATE("")</f>
        <v/>
      </c>
      <c r="L9" s="7" t="str">
        <f>CONCATENATE("11 11.2 4b")</f>
        <v>11 11.2 4b</v>
      </c>
      <c r="M9" s="7" t="str">
        <f>CONCATENATE("MRANDR76S12E783U")</f>
        <v>MRANDR76S12E783U</v>
      </c>
      <c r="N9" s="7" t="s">
        <v>58</v>
      </c>
      <c r="O9" s="7" t="s">
        <v>56</v>
      </c>
      <c r="P9" s="8">
        <v>44739</v>
      </c>
      <c r="Q9" s="7" t="s">
        <v>31</v>
      </c>
      <c r="R9" s="7" t="s">
        <v>32</v>
      </c>
      <c r="S9" s="7" t="s">
        <v>33</v>
      </c>
      <c r="T9" s="7"/>
      <c r="U9" s="7" t="s">
        <v>34</v>
      </c>
      <c r="V9" s="7">
        <v>724.07</v>
      </c>
      <c r="W9" s="7">
        <v>312.22000000000003</v>
      </c>
      <c r="X9" s="7">
        <v>288.32</v>
      </c>
      <c r="Y9" s="7">
        <v>0</v>
      </c>
      <c r="Z9" s="7">
        <v>123.53</v>
      </c>
    </row>
    <row r="10" spans="1:26" x14ac:dyDescent="0.35">
      <c r="A10" s="7" t="s">
        <v>27</v>
      </c>
      <c r="B10" s="7" t="s">
        <v>28</v>
      </c>
      <c r="C10" s="7" t="s">
        <v>47</v>
      </c>
      <c r="D10" s="7" t="s">
        <v>59</v>
      </c>
      <c r="E10" s="7" t="s">
        <v>39</v>
      </c>
      <c r="F10" s="7" t="s">
        <v>39</v>
      </c>
      <c r="G10" s="7">
        <v>2021</v>
      </c>
      <c r="H10" s="7" t="str">
        <f>CONCATENATE("14240701939")</f>
        <v>14240701939</v>
      </c>
      <c r="I10" s="7" t="s">
        <v>41</v>
      </c>
      <c r="J10" s="7" t="s">
        <v>38</v>
      </c>
      <c r="K10" s="7" t="str">
        <f>CONCATENATE("")</f>
        <v/>
      </c>
      <c r="L10" s="7" t="str">
        <f>CONCATENATE("11 11.2 4b")</f>
        <v>11 11.2 4b</v>
      </c>
      <c r="M10" s="7" t="str">
        <f>CONCATENATE("01419970429")</f>
        <v>01419970429</v>
      </c>
      <c r="N10" s="7" t="s">
        <v>60</v>
      </c>
      <c r="O10" s="7" t="s">
        <v>56</v>
      </c>
      <c r="P10" s="8">
        <v>44739</v>
      </c>
      <c r="Q10" s="7" t="s">
        <v>31</v>
      </c>
      <c r="R10" s="7" t="s">
        <v>32</v>
      </c>
      <c r="S10" s="7" t="s">
        <v>33</v>
      </c>
      <c r="T10" s="7"/>
      <c r="U10" s="7" t="s">
        <v>34</v>
      </c>
      <c r="V10" s="7">
        <v>695.61</v>
      </c>
      <c r="W10" s="7">
        <v>299.95</v>
      </c>
      <c r="X10" s="7">
        <v>276.99</v>
      </c>
      <c r="Y10" s="7">
        <v>0</v>
      </c>
      <c r="Z10" s="7">
        <v>118.67</v>
      </c>
    </row>
    <row r="11" spans="1:26" x14ac:dyDescent="0.35">
      <c r="A11" s="7" t="s">
        <v>27</v>
      </c>
      <c r="B11" s="7" t="s">
        <v>28</v>
      </c>
      <c r="C11" s="7" t="s">
        <v>47</v>
      </c>
      <c r="D11" s="7" t="s">
        <v>53</v>
      </c>
      <c r="E11" s="7" t="s">
        <v>40</v>
      </c>
      <c r="F11" s="7" t="s">
        <v>57</v>
      </c>
      <c r="G11" s="7">
        <v>2021</v>
      </c>
      <c r="H11" s="7" t="str">
        <f>CONCATENATE("14241074757")</f>
        <v>14241074757</v>
      </c>
      <c r="I11" s="7" t="s">
        <v>30</v>
      </c>
      <c r="J11" s="7" t="s">
        <v>38</v>
      </c>
      <c r="K11" s="7" t="str">
        <f>CONCATENATE("")</f>
        <v/>
      </c>
      <c r="L11" s="7" t="str">
        <f>CONCATENATE("11 11.2 4b")</f>
        <v>11 11.2 4b</v>
      </c>
      <c r="M11" s="7" t="str">
        <f>CONCATENATE("02018790432")</f>
        <v>02018790432</v>
      </c>
      <c r="N11" s="7" t="s">
        <v>61</v>
      </c>
      <c r="O11" s="7" t="s">
        <v>56</v>
      </c>
      <c r="P11" s="8">
        <v>44739</v>
      </c>
      <c r="Q11" s="7" t="s">
        <v>31</v>
      </c>
      <c r="R11" s="7" t="s">
        <v>32</v>
      </c>
      <c r="S11" s="7" t="s">
        <v>33</v>
      </c>
      <c r="T11" s="7"/>
      <c r="U11" s="7" t="s">
        <v>34</v>
      </c>
      <c r="V11" s="9">
        <v>1410.51</v>
      </c>
      <c r="W11" s="7">
        <v>608.21</v>
      </c>
      <c r="X11" s="7">
        <v>561.66999999999996</v>
      </c>
      <c r="Y11" s="7">
        <v>0</v>
      </c>
      <c r="Z11" s="7">
        <v>240.63</v>
      </c>
    </row>
    <row r="12" spans="1:26" x14ac:dyDescent="0.35">
      <c r="A12" s="7" t="s">
        <v>27</v>
      </c>
      <c r="B12" s="7" t="s">
        <v>28</v>
      </c>
      <c r="C12" s="7" t="s">
        <v>47</v>
      </c>
      <c r="D12" s="7" t="s">
        <v>62</v>
      </c>
      <c r="E12" s="7" t="s">
        <v>29</v>
      </c>
      <c r="F12" s="7" t="s">
        <v>63</v>
      </c>
      <c r="G12" s="7">
        <v>2021</v>
      </c>
      <c r="H12" s="7" t="str">
        <f>CONCATENATE("14240340522")</f>
        <v>14240340522</v>
      </c>
      <c r="I12" s="7" t="s">
        <v>30</v>
      </c>
      <c r="J12" s="7" t="s">
        <v>38</v>
      </c>
      <c r="K12" s="7" t="str">
        <f>CONCATENATE("")</f>
        <v/>
      </c>
      <c r="L12" s="7" t="str">
        <f>CONCATENATE("11 11.2 4b")</f>
        <v>11 11.2 4b</v>
      </c>
      <c r="M12" s="7" t="str">
        <f>CONCATENATE("VGNLLN61M50Z110B")</f>
        <v>VGNLLN61M50Z110B</v>
      </c>
      <c r="N12" s="7" t="s">
        <v>64</v>
      </c>
      <c r="O12" s="7" t="s">
        <v>56</v>
      </c>
      <c r="P12" s="8">
        <v>44739</v>
      </c>
      <c r="Q12" s="7" t="s">
        <v>31</v>
      </c>
      <c r="R12" s="7" t="s">
        <v>32</v>
      </c>
      <c r="S12" s="7" t="s">
        <v>33</v>
      </c>
      <c r="T12" s="7"/>
      <c r="U12" s="7" t="s">
        <v>34</v>
      </c>
      <c r="V12" s="9">
        <v>56559.79</v>
      </c>
      <c r="W12" s="9">
        <v>24388.58</v>
      </c>
      <c r="X12" s="9">
        <v>22522.11</v>
      </c>
      <c r="Y12" s="7">
        <v>0</v>
      </c>
      <c r="Z12" s="9">
        <v>9649.1</v>
      </c>
    </row>
    <row r="13" spans="1:26" x14ac:dyDescent="0.35">
      <c r="A13" s="7" t="s">
        <v>27</v>
      </c>
      <c r="B13" s="7" t="s">
        <v>28</v>
      </c>
      <c r="C13" s="7" t="s">
        <v>47</v>
      </c>
      <c r="D13" s="7" t="s">
        <v>59</v>
      </c>
      <c r="E13" s="7" t="s">
        <v>39</v>
      </c>
      <c r="F13" s="7" t="s">
        <v>39</v>
      </c>
      <c r="G13" s="7">
        <v>2021</v>
      </c>
      <c r="H13" s="7" t="str">
        <f>CONCATENATE("14240719014")</f>
        <v>14240719014</v>
      </c>
      <c r="I13" s="7" t="s">
        <v>41</v>
      </c>
      <c r="J13" s="7" t="s">
        <v>38</v>
      </c>
      <c r="K13" s="7" t="str">
        <f>CONCATENATE("")</f>
        <v/>
      </c>
      <c r="L13" s="7" t="str">
        <f>CONCATENATE("11 11.2 4b")</f>
        <v>11 11.2 4b</v>
      </c>
      <c r="M13" s="7" t="str">
        <f>CONCATENATE("01419970429")</f>
        <v>01419970429</v>
      </c>
      <c r="N13" s="7" t="s">
        <v>60</v>
      </c>
      <c r="O13" s="7" t="s">
        <v>56</v>
      </c>
      <c r="P13" s="8">
        <v>44739</v>
      </c>
      <c r="Q13" s="7" t="s">
        <v>31</v>
      </c>
      <c r="R13" s="7" t="s">
        <v>32</v>
      </c>
      <c r="S13" s="7" t="s">
        <v>33</v>
      </c>
      <c r="T13" s="7"/>
      <c r="U13" s="7" t="s">
        <v>34</v>
      </c>
      <c r="V13" s="9">
        <v>27008.22</v>
      </c>
      <c r="W13" s="9">
        <v>11645.94</v>
      </c>
      <c r="X13" s="9">
        <v>10754.67</v>
      </c>
      <c r="Y13" s="7">
        <v>0</v>
      </c>
      <c r="Z13" s="9">
        <v>4607.6099999999997</v>
      </c>
    </row>
    <row r="14" spans="1:26" x14ac:dyDescent="0.35">
      <c r="A14" s="7" t="s">
        <v>27</v>
      </c>
      <c r="B14" s="7" t="s">
        <v>28</v>
      </c>
      <c r="C14" s="7" t="s">
        <v>47</v>
      </c>
      <c r="D14" s="7" t="s">
        <v>53</v>
      </c>
      <c r="E14" s="7" t="s">
        <v>35</v>
      </c>
      <c r="F14" s="7" t="s">
        <v>54</v>
      </c>
      <c r="G14" s="7">
        <v>2020</v>
      </c>
      <c r="H14" s="7" t="str">
        <f>CONCATENATE("04240097750")</f>
        <v>04240097750</v>
      </c>
      <c r="I14" s="7" t="s">
        <v>30</v>
      </c>
      <c r="J14" s="7" t="s">
        <v>38</v>
      </c>
      <c r="K14" s="7" t="str">
        <f>CONCATENATE("")</f>
        <v/>
      </c>
      <c r="L14" s="7" t="str">
        <f>CONCATENATE("11 11.1 4b")</f>
        <v>11 11.1 4b</v>
      </c>
      <c r="M14" s="7" t="str">
        <f>CONCATENATE("FRNMRC82T21I156H")</f>
        <v>FRNMRC82T21I156H</v>
      </c>
      <c r="N14" s="7" t="s">
        <v>65</v>
      </c>
      <c r="O14" s="7" t="s">
        <v>56</v>
      </c>
      <c r="P14" s="8">
        <v>44739</v>
      </c>
      <c r="Q14" s="7" t="s">
        <v>31</v>
      </c>
      <c r="R14" s="7" t="s">
        <v>32</v>
      </c>
      <c r="S14" s="7" t="s">
        <v>33</v>
      </c>
      <c r="T14" s="7"/>
      <c r="U14" s="7" t="s">
        <v>34</v>
      </c>
      <c r="V14" s="9">
        <v>3311.27</v>
      </c>
      <c r="W14" s="9">
        <v>1427.82</v>
      </c>
      <c r="X14" s="9">
        <v>1318.55</v>
      </c>
      <c r="Y14" s="7">
        <v>0</v>
      </c>
      <c r="Z14" s="7">
        <v>564.9</v>
      </c>
    </row>
    <row r="15" spans="1:26" x14ac:dyDescent="0.35">
      <c r="A15" s="7" t="s">
        <v>27</v>
      </c>
      <c r="B15" s="7" t="s">
        <v>28</v>
      </c>
      <c r="C15" s="7" t="s">
        <v>47</v>
      </c>
      <c r="D15" s="7" t="s">
        <v>53</v>
      </c>
      <c r="E15" s="7" t="s">
        <v>35</v>
      </c>
      <c r="F15" s="7" t="s">
        <v>54</v>
      </c>
      <c r="G15" s="7">
        <v>2020</v>
      </c>
      <c r="H15" s="7" t="str">
        <f>CONCATENATE("04240279143")</f>
        <v>04240279143</v>
      </c>
      <c r="I15" s="7" t="s">
        <v>30</v>
      </c>
      <c r="J15" s="7" t="s">
        <v>38</v>
      </c>
      <c r="K15" s="7" t="str">
        <f>CONCATENATE("")</f>
        <v/>
      </c>
      <c r="L15" s="7" t="str">
        <f>CONCATENATE("11 11.2 4b")</f>
        <v>11 11.2 4b</v>
      </c>
      <c r="M15" s="7" t="str">
        <f>CONCATENATE("01741900433")</f>
        <v>01741900433</v>
      </c>
      <c r="N15" s="7" t="s">
        <v>66</v>
      </c>
      <c r="O15" s="7" t="s">
        <v>56</v>
      </c>
      <c r="P15" s="8">
        <v>44739</v>
      </c>
      <c r="Q15" s="7" t="s">
        <v>31</v>
      </c>
      <c r="R15" s="7" t="s">
        <v>32</v>
      </c>
      <c r="S15" s="7" t="s">
        <v>33</v>
      </c>
      <c r="T15" s="7"/>
      <c r="U15" s="7" t="s">
        <v>34</v>
      </c>
      <c r="V15" s="9">
        <v>1113.97</v>
      </c>
      <c r="W15" s="7">
        <v>480.34</v>
      </c>
      <c r="X15" s="7">
        <v>443.58</v>
      </c>
      <c r="Y15" s="7">
        <v>0</v>
      </c>
      <c r="Z15" s="7">
        <v>190.05</v>
      </c>
    </row>
    <row r="16" spans="1:26" x14ac:dyDescent="0.35">
      <c r="A16" s="7" t="s">
        <v>27</v>
      </c>
      <c r="B16" s="7" t="s">
        <v>28</v>
      </c>
      <c r="C16" s="7" t="s">
        <v>47</v>
      </c>
      <c r="D16" s="7" t="s">
        <v>53</v>
      </c>
      <c r="E16" s="7" t="s">
        <v>40</v>
      </c>
      <c r="F16" s="7" t="s">
        <v>67</v>
      </c>
      <c r="G16" s="7">
        <v>2021</v>
      </c>
      <c r="H16" s="7" t="str">
        <f>CONCATENATE("14240695545")</f>
        <v>14240695545</v>
      </c>
      <c r="I16" s="7" t="s">
        <v>30</v>
      </c>
      <c r="J16" s="7" t="s">
        <v>38</v>
      </c>
      <c r="K16" s="7" t="str">
        <f>CONCATENATE("")</f>
        <v/>
      </c>
      <c r="L16" s="7" t="str">
        <f>CONCATENATE("11 11.2 4b")</f>
        <v>11 11.2 4b</v>
      </c>
      <c r="M16" s="7" t="str">
        <f>CONCATENATE("CPLNDR50B03I156F")</f>
        <v>CPLNDR50B03I156F</v>
      </c>
      <c r="N16" s="7" t="s">
        <v>68</v>
      </c>
      <c r="O16" s="7" t="s">
        <v>56</v>
      </c>
      <c r="P16" s="8">
        <v>44739</v>
      </c>
      <c r="Q16" s="7" t="s">
        <v>31</v>
      </c>
      <c r="R16" s="7" t="s">
        <v>32</v>
      </c>
      <c r="S16" s="7" t="s">
        <v>33</v>
      </c>
      <c r="T16" s="7"/>
      <c r="U16" s="7" t="s">
        <v>34</v>
      </c>
      <c r="V16" s="9">
        <v>2438.06</v>
      </c>
      <c r="W16" s="9">
        <v>1051.29</v>
      </c>
      <c r="X16" s="7">
        <v>970.84</v>
      </c>
      <c r="Y16" s="7">
        <v>0</v>
      </c>
      <c r="Z16" s="7">
        <v>415.93</v>
      </c>
    </row>
    <row r="17" spans="1:26" x14ac:dyDescent="0.35">
      <c r="A17" s="7" t="s">
        <v>27</v>
      </c>
      <c r="B17" s="7" t="s">
        <v>37</v>
      </c>
      <c r="C17" s="7" t="s">
        <v>47</v>
      </c>
      <c r="D17" s="7" t="s">
        <v>62</v>
      </c>
      <c r="E17" s="7" t="s">
        <v>42</v>
      </c>
      <c r="F17" s="7" t="s">
        <v>69</v>
      </c>
      <c r="G17" s="7">
        <v>2017</v>
      </c>
      <c r="H17" s="7" t="str">
        <f>CONCATENATE("14270364160")</f>
        <v>14270364160</v>
      </c>
      <c r="I17" s="7" t="s">
        <v>30</v>
      </c>
      <c r="J17" s="7" t="s">
        <v>38</v>
      </c>
      <c r="K17" s="7" t="str">
        <f>CONCATENATE("")</f>
        <v/>
      </c>
      <c r="L17" s="7" t="str">
        <f>CONCATENATE("4 4.1 2a")</f>
        <v>4 4.1 2a</v>
      </c>
      <c r="M17" s="7" t="str">
        <f>CONCATENATE("MCHRLL62A43C877N")</f>
        <v>MCHRLL62A43C877N</v>
      </c>
      <c r="N17" s="7" t="s">
        <v>70</v>
      </c>
      <c r="O17" s="7" t="s">
        <v>71</v>
      </c>
      <c r="P17" s="8">
        <v>44733</v>
      </c>
      <c r="Q17" s="7" t="s">
        <v>31</v>
      </c>
      <c r="R17" s="7" t="s">
        <v>32</v>
      </c>
      <c r="S17" s="7" t="s">
        <v>33</v>
      </c>
      <c r="T17" s="7"/>
      <c r="U17" s="7" t="s">
        <v>34</v>
      </c>
      <c r="V17" s="9">
        <v>7123.53</v>
      </c>
      <c r="W17" s="9">
        <v>3071.67</v>
      </c>
      <c r="X17" s="9">
        <v>2836.59</v>
      </c>
      <c r="Y17" s="7">
        <v>0</v>
      </c>
      <c r="Z17" s="9">
        <v>1215.27</v>
      </c>
    </row>
    <row r="18" spans="1:26" x14ac:dyDescent="0.35">
      <c r="A18" s="7" t="s">
        <v>27</v>
      </c>
      <c r="B18" s="7" t="s">
        <v>37</v>
      </c>
      <c r="C18" s="7" t="s">
        <v>47</v>
      </c>
      <c r="D18" s="7" t="s">
        <v>53</v>
      </c>
      <c r="E18" s="7" t="s">
        <v>39</v>
      </c>
      <c r="F18" s="7" t="s">
        <v>39</v>
      </c>
      <c r="G18" s="7">
        <v>2017</v>
      </c>
      <c r="H18" s="7" t="str">
        <f>CONCATENATE("24270072077")</f>
        <v>24270072077</v>
      </c>
      <c r="I18" s="7" t="s">
        <v>30</v>
      </c>
      <c r="J18" s="7" t="s">
        <v>38</v>
      </c>
      <c r="K18" s="7" t="str">
        <f>CONCATENATE("")</f>
        <v/>
      </c>
      <c r="L18" s="7" t="str">
        <f>CONCATENATE("4 4.1 2a")</f>
        <v>4 4.1 2a</v>
      </c>
      <c r="M18" s="7" t="str">
        <f>CONCATENATE("MCZLCU44A24M078N")</f>
        <v>MCZLCU44A24M078N</v>
      </c>
      <c r="N18" s="7" t="s">
        <v>72</v>
      </c>
      <c r="O18" s="7" t="s">
        <v>71</v>
      </c>
      <c r="P18" s="8">
        <v>44733</v>
      </c>
      <c r="Q18" s="7" t="s">
        <v>31</v>
      </c>
      <c r="R18" s="7" t="s">
        <v>32</v>
      </c>
      <c r="S18" s="7" t="s">
        <v>33</v>
      </c>
      <c r="T18" s="7"/>
      <c r="U18" s="7" t="s">
        <v>34</v>
      </c>
      <c r="V18" s="9">
        <v>39056.25</v>
      </c>
      <c r="W18" s="9">
        <v>16841.060000000001</v>
      </c>
      <c r="X18" s="9">
        <v>15552.2</v>
      </c>
      <c r="Y18" s="7">
        <v>0</v>
      </c>
      <c r="Z18" s="9">
        <v>6662.99</v>
      </c>
    </row>
    <row r="19" spans="1:26" ht="17.5" x14ac:dyDescent="0.35">
      <c r="A19" s="7" t="s">
        <v>27</v>
      </c>
      <c r="B19" s="7" t="s">
        <v>37</v>
      </c>
      <c r="C19" s="7" t="s">
        <v>47</v>
      </c>
      <c r="D19" s="7" t="s">
        <v>73</v>
      </c>
      <c r="E19" s="7" t="s">
        <v>39</v>
      </c>
      <c r="F19" s="7" t="s">
        <v>39</v>
      </c>
      <c r="G19" s="7">
        <v>2017</v>
      </c>
      <c r="H19" s="7" t="str">
        <f>CONCATENATE("14270364293")</f>
        <v>14270364293</v>
      </c>
      <c r="I19" s="7" t="s">
        <v>30</v>
      </c>
      <c r="J19" s="7" t="s">
        <v>38</v>
      </c>
      <c r="K19" s="7" t="str">
        <f>CONCATENATE("")</f>
        <v/>
      </c>
      <c r="L19" s="7" t="str">
        <f>CONCATENATE("4 4.1 2a")</f>
        <v>4 4.1 2a</v>
      </c>
      <c r="M19" s="7" t="str">
        <f>CONCATENATE("TNGMRA53S69H958N")</f>
        <v>TNGMRA53S69H958N</v>
      </c>
      <c r="N19" s="7" t="s">
        <v>74</v>
      </c>
      <c r="O19" s="7" t="s">
        <v>71</v>
      </c>
      <c r="P19" s="8">
        <v>44733</v>
      </c>
      <c r="Q19" s="7" t="s">
        <v>31</v>
      </c>
      <c r="R19" s="7" t="s">
        <v>32</v>
      </c>
      <c r="S19" s="7" t="s">
        <v>33</v>
      </c>
      <c r="T19" s="7"/>
      <c r="U19" s="7" t="s">
        <v>34</v>
      </c>
      <c r="V19" s="9">
        <v>34497.9</v>
      </c>
      <c r="W19" s="9">
        <v>14875.49</v>
      </c>
      <c r="X19" s="9">
        <v>13737.06</v>
      </c>
      <c r="Y19" s="7">
        <v>0</v>
      </c>
      <c r="Z19" s="9">
        <v>5885.35</v>
      </c>
    </row>
    <row r="20" spans="1:26" x14ac:dyDescent="0.35">
      <c r="A20" s="7" t="s">
        <v>27</v>
      </c>
      <c r="B20" s="7" t="s">
        <v>37</v>
      </c>
      <c r="C20" s="7" t="s">
        <v>47</v>
      </c>
      <c r="D20" s="7" t="s">
        <v>62</v>
      </c>
      <c r="E20" s="7" t="s">
        <v>39</v>
      </c>
      <c r="F20" s="7" t="s">
        <v>39</v>
      </c>
      <c r="G20" s="7">
        <v>2017</v>
      </c>
      <c r="H20" s="7" t="str">
        <f>CONCATENATE("14270364152")</f>
        <v>14270364152</v>
      </c>
      <c r="I20" s="7" t="s">
        <v>30</v>
      </c>
      <c r="J20" s="7" t="s">
        <v>38</v>
      </c>
      <c r="K20" s="7" t="str">
        <f>CONCATENATE("")</f>
        <v/>
      </c>
      <c r="L20" s="7" t="str">
        <f>CONCATENATE("4 4.1 2a")</f>
        <v>4 4.1 2a</v>
      </c>
      <c r="M20" s="7" t="str">
        <f>CONCATENATE("02310540444")</f>
        <v>02310540444</v>
      </c>
      <c r="N20" s="7" t="s">
        <v>75</v>
      </c>
      <c r="O20" s="7" t="s">
        <v>71</v>
      </c>
      <c r="P20" s="8">
        <v>44733</v>
      </c>
      <c r="Q20" s="7" t="s">
        <v>31</v>
      </c>
      <c r="R20" s="7" t="s">
        <v>32</v>
      </c>
      <c r="S20" s="7" t="s">
        <v>33</v>
      </c>
      <c r="T20" s="7"/>
      <c r="U20" s="7" t="s">
        <v>34</v>
      </c>
      <c r="V20" s="9">
        <v>205855.03</v>
      </c>
      <c r="W20" s="9">
        <v>88764.69</v>
      </c>
      <c r="X20" s="9">
        <v>81971.47</v>
      </c>
      <c r="Y20" s="7">
        <v>0</v>
      </c>
      <c r="Z20" s="9">
        <v>35118.870000000003</v>
      </c>
    </row>
    <row r="21" spans="1:26" x14ac:dyDescent="0.35">
      <c r="A21" s="7" t="s">
        <v>27</v>
      </c>
      <c r="B21" s="7" t="s">
        <v>37</v>
      </c>
      <c r="C21" s="7" t="s">
        <v>47</v>
      </c>
      <c r="D21" s="7" t="s">
        <v>62</v>
      </c>
      <c r="E21" s="7" t="s">
        <v>42</v>
      </c>
      <c r="F21" s="7" t="s">
        <v>69</v>
      </c>
      <c r="G21" s="7">
        <v>2017</v>
      </c>
      <c r="H21" s="7" t="str">
        <f>CONCATENATE("14270364178")</f>
        <v>14270364178</v>
      </c>
      <c r="I21" s="7" t="s">
        <v>30</v>
      </c>
      <c r="J21" s="7" t="s">
        <v>38</v>
      </c>
      <c r="K21" s="7" t="str">
        <f>CONCATENATE("")</f>
        <v/>
      </c>
      <c r="L21" s="7" t="str">
        <f>CONCATENATE("4 4.1 2a")</f>
        <v>4 4.1 2a</v>
      </c>
      <c r="M21" s="7" t="str">
        <f>CONCATENATE("01814170443")</f>
        <v>01814170443</v>
      </c>
      <c r="N21" s="7" t="s">
        <v>76</v>
      </c>
      <c r="O21" s="7" t="s">
        <v>71</v>
      </c>
      <c r="P21" s="8">
        <v>44733</v>
      </c>
      <c r="Q21" s="7" t="s">
        <v>31</v>
      </c>
      <c r="R21" s="7" t="s">
        <v>32</v>
      </c>
      <c r="S21" s="7" t="s">
        <v>33</v>
      </c>
      <c r="T21" s="7"/>
      <c r="U21" s="7" t="s">
        <v>34</v>
      </c>
      <c r="V21" s="9">
        <v>63537.16</v>
      </c>
      <c r="W21" s="9">
        <v>27397.22</v>
      </c>
      <c r="X21" s="9">
        <v>25300.5</v>
      </c>
      <c r="Y21" s="7">
        <v>0</v>
      </c>
      <c r="Z21" s="9">
        <v>10839.44</v>
      </c>
    </row>
    <row r="22" spans="1:26" x14ac:dyDescent="0.35">
      <c r="A22" s="7" t="s">
        <v>27</v>
      </c>
      <c r="B22" s="7" t="s">
        <v>28</v>
      </c>
      <c r="C22" s="7" t="s">
        <v>47</v>
      </c>
      <c r="D22" s="7" t="s">
        <v>62</v>
      </c>
      <c r="E22" s="7" t="s">
        <v>35</v>
      </c>
      <c r="F22" s="7" t="s">
        <v>77</v>
      </c>
      <c r="G22" s="7">
        <v>2021</v>
      </c>
      <c r="H22" s="7" t="str">
        <f>CONCATENATE("14240818436")</f>
        <v>14240818436</v>
      </c>
      <c r="I22" s="7" t="s">
        <v>30</v>
      </c>
      <c r="J22" s="7" t="s">
        <v>38</v>
      </c>
      <c r="K22" s="7" t="str">
        <f>CONCATENATE("")</f>
        <v/>
      </c>
      <c r="L22" s="7" t="str">
        <f>CONCATENATE("10 10.1 4b")</f>
        <v>10 10.1 4b</v>
      </c>
      <c r="M22" s="7" t="str">
        <f>CONCATENATE("PLCBRN46R26G516M")</f>
        <v>PLCBRN46R26G516M</v>
      </c>
      <c r="N22" s="7" t="s">
        <v>78</v>
      </c>
      <c r="O22" s="7" t="s">
        <v>79</v>
      </c>
      <c r="P22" s="8">
        <v>44735</v>
      </c>
      <c r="Q22" s="7" t="s">
        <v>31</v>
      </c>
      <c r="R22" s="7" t="s">
        <v>32</v>
      </c>
      <c r="S22" s="7" t="s">
        <v>33</v>
      </c>
      <c r="T22" s="7"/>
      <c r="U22" s="7" t="s">
        <v>34</v>
      </c>
      <c r="V22" s="9">
        <v>1639.23</v>
      </c>
      <c r="W22" s="7">
        <v>706.84</v>
      </c>
      <c r="X22" s="7">
        <v>652.74</v>
      </c>
      <c r="Y22" s="7">
        <v>0</v>
      </c>
      <c r="Z22" s="7">
        <v>279.64999999999998</v>
      </c>
    </row>
    <row r="23" spans="1:26" x14ac:dyDescent="0.35">
      <c r="A23" s="7" t="s">
        <v>27</v>
      </c>
      <c r="B23" s="7" t="s">
        <v>28</v>
      </c>
      <c r="C23" s="7" t="s">
        <v>47</v>
      </c>
      <c r="D23" s="7" t="s">
        <v>73</v>
      </c>
      <c r="E23" s="7" t="s">
        <v>40</v>
      </c>
      <c r="F23" s="7" t="s">
        <v>80</v>
      </c>
      <c r="G23" s="7">
        <v>2021</v>
      </c>
      <c r="H23" s="7" t="str">
        <f>CONCATENATE("14210551132")</f>
        <v>14210551132</v>
      </c>
      <c r="I23" s="7" t="s">
        <v>41</v>
      </c>
      <c r="J23" s="7" t="s">
        <v>38</v>
      </c>
      <c r="K23" s="7" t="str">
        <f>CONCATENATE("")</f>
        <v/>
      </c>
      <c r="L23" s="7" t="str">
        <f>CONCATENATE("13 13.1 4a")</f>
        <v>13 13.1 4a</v>
      </c>
      <c r="M23" s="7" t="str">
        <f>CONCATENATE("RMTMRK82T50L500A")</f>
        <v>RMTMRK82T50L500A</v>
      </c>
      <c r="N23" s="7" t="s">
        <v>81</v>
      </c>
      <c r="O23" s="7" t="s">
        <v>82</v>
      </c>
      <c r="P23" s="8">
        <v>44735</v>
      </c>
      <c r="Q23" s="7" t="s">
        <v>31</v>
      </c>
      <c r="R23" s="7" t="s">
        <v>32</v>
      </c>
      <c r="S23" s="7" t="s">
        <v>33</v>
      </c>
      <c r="T23" s="7"/>
      <c r="U23" s="7" t="s">
        <v>34</v>
      </c>
      <c r="V23" s="7">
        <v>338.72</v>
      </c>
      <c r="W23" s="7">
        <v>146.06</v>
      </c>
      <c r="X23" s="7">
        <v>134.88</v>
      </c>
      <c r="Y23" s="7">
        <v>0</v>
      </c>
      <c r="Z23" s="7">
        <v>57.78</v>
      </c>
    </row>
    <row r="24" spans="1:26" ht="17.5" x14ac:dyDescent="0.35">
      <c r="A24" s="7" t="s">
        <v>27</v>
      </c>
      <c r="B24" s="7" t="s">
        <v>28</v>
      </c>
      <c r="C24" s="7" t="s">
        <v>47</v>
      </c>
      <c r="D24" s="7" t="s">
        <v>73</v>
      </c>
      <c r="E24" s="7" t="s">
        <v>35</v>
      </c>
      <c r="F24" s="7" t="s">
        <v>83</v>
      </c>
      <c r="G24" s="7">
        <v>2021</v>
      </c>
      <c r="H24" s="7" t="str">
        <f>CONCATENATE("14210301892")</f>
        <v>14210301892</v>
      </c>
      <c r="I24" s="7" t="s">
        <v>30</v>
      </c>
      <c r="J24" s="7" t="s">
        <v>38</v>
      </c>
      <c r="K24" s="7" t="str">
        <f>CONCATENATE("")</f>
        <v/>
      </c>
      <c r="L24" s="7" t="str">
        <f>CONCATENATE("13 13.1 4a")</f>
        <v>13 13.1 4a</v>
      </c>
      <c r="M24" s="7" t="str">
        <f>CONCATENATE("CNMNND29B20B352D")</f>
        <v>CNMNND29B20B352D</v>
      </c>
      <c r="N24" s="7" t="s">
        <v>84</v>
      </c>
      <c r="O24" s="7" t="s">
        <v>82</v>
      </c>
      <c r="P24" s="8">
        <v>44735</v>
      </c>
      <c r="Q24" s="7" t="s">
        <v>31</v>
      </c>
      <c r="R24" s="7" t="s">
        <v>32</v>
      </c>
      <c r="S24" s="7" t="s">
        <v>33</v>
      </c>
      <c r="T24" s="7"/>
      <c r="U24" s="7" t="s">
        <v>34</v>
      </c>
      <c r="V24" s="9">
        <v>6814.89</v>
      </c>
      <c r="W24" s="9">
        <v>2938.58</v>
      </c>
      <c r="X24" s="9">
        <v>2713.69</v>
      </c>
      <c r="Y24" s="7">
        <v>0</v>
      </c>
      <c r="Z24" s="9">
        <v>1162.6199999999999</v>
      </c>
    </row>
    <row r="25" spans="1:26" x14ac:dyDescent="0.35">
      <c r="A25" s="7" t="s">
        <v>27</v>
      </c>
      <c r="B25" s="7" t="s">
        <v>28</v>
      </c>
      <c r="C25" s="7" t="s">
        <v>47</v>
      </c>
      <c r="D25" s="7" t="s">
        <v>73</v>
      </c>
      <c r="E25" s="7" t="s">
        <v>36</v>
      </c>
      <c r="F25" s="7" t="s">
        <v>85</v>
      </c>
      <c r="G25" s="7">
        <v>2021</v>
      </c>
      <c r="H25" s="7" t="str">
        <f>CONCATENATE("14210772456")</f>
        <v>14210772456</v>
      </c>
      <c r="I25" s="7" t="s">
        <v>30</v>
      </c>
      <c r="J25" s="7" t="s">
        <v>38</v>
      </c>
      <c r="K25" s="7" t="str">
        <f>CONCATENATE("")</f>
        <v/>
      </c>
      <c r="L25" s="7" t="str">
        <f>CONCATENATE("13 13.1 4a")</f>
        <v>13 13.1 4a</v>
      </c>
      <c r="M25" s="7" t="str">
        <f>CONCATENATE("BTTPDR45L07E351T")</f>
        <v>BTTPDR45L07E351T</v>
      </c>
      <c r="N25" s="7" t="s">
        <v>86</v>
      </c>
      <c r="O25" s="7" t="s">
        <v>82</v>
      </c>
      <c r="P25" s="8">
        <v>44735</v>
      </c>
      <c r="Q25" s="7" t="s">
        <v>31</v>
      </c>
      <c r="R25" s="7" t="s">
        <v>32</v>
      </c>
      <c r="S25" s="7" t="s">
        <v>33</v>
      </c>
      <c r="T25" s="7"/>
      <c r="U25" s="7" t="s">
        <v>34</v>
      </c>
      <c r="V25" s="9">
        <v>2840.24</v>
      </c>
      <c r="W25" s="9">
        <v>1224.71</v>
      </c>
      <c r="X25" s="9">
        <v>1130.98</v>
      </c>
      <c r="Y25" s="7">
        <v>0</v>
      </c>
      <c r="Z25" s="7">
        <v>484.55</v>
      </c>
    </row>
    <row r="26" spans="1:26" x14ac:dyDescent="0.35">
      <c r="A26" s="7" t="s">
        <v>27</v>
      </c>
      <c r="B26" s="7" t="s">
        <v>28</v>
      </c>
      <c r="C26" s="7" t="s">
        <v>47</v>
      </c>
      <c r="D26" s="7" t="s">
        <v>73</v>
      </c>
      <c r="E26" s="7" t="s">
        <v>29</v>
      </c>
      <c r="F26" s="7" t="s">
        <v>87</v>
      </c>
      <c r="G26" s="7">
        <v>2021</v>
      </c>
      <c r="H26" s="7" t="str">
        <f>CONCATENATE("14211159687")</f>
        <v>14211159687</v>
      </c>
      <c r="I26" s="7" t="s">
        <v>30</v>
      </c>
      <c r="J26" s="7" t="s">
        <v>38</v>
      </c>
      <c r="K26" s="7" t="str">
        <f>CONCATENATE("")</f>
        <v/>
      </c>
      <c r="L26" s="7" t="str">
        <f>CONCATENATE("13 13.1 4a")</f>
        <v>13 13.1 4a</v>
      </c>
      <c r="M26" s="7" t="str">
        <f>CONCATENATE("BRFVNI49S60F589H")</f>
        <v>BRFVNI49S60F589H</v>
      </c>
      <c r="N26" s="7" t="s">
        <v>88</v>
      </c>
      <c r="O26" s="7" t="s">
        <v>82</v>
      </c>
      <c r="P26" s="8">
        <v>44735</v>
      </c>
      <c r="Q26" s="7" t="s">
        <v>31</v>
      </c>
      <c r="R26" s="7" t="s">
        <v>32</v>
      </c>
      <c r="S26" s="7" t="s">
        <v>33</v>
      </c>
      <c r="T26" s="7"/>
      <c r="U26" s="7" t="s">
        <v>34</v>
      </c>
      <c r="V26" s="7">
        <v>67.709999999999994</v>
      </c>
      <c r="W26" s="7">
        <v>29.2</v>
      </c>
      <c r="X26" s="7">
        <v>26.96</v>
      </c>
      <c r="Y26" s="7">
        <v>0</v>
      </c>
      <c r="Z26" s="7">
        <v>11.55</v>
      </c>
    </row>
    <row r="27" spans="1:26" x14ac:dyDescent="0.35">
      <c r="A27" s="7" t="s">
        <v>27</v>
      </c>
      <c r="B27" s="7" t="s">
        <v>28</v>
      </c>
      <c r="C27" s="7" t="s">
        <v>47</v>
      </c>
      <c r="D27" s="7" t="s">
        <v>73</v>
      </c>
      <c r="E27" s="7" t="s">
        <v>29</v>
      </c>
      <c r="F27" s="7" t="s">
        <v>87</v>
      </c>
      <c r="G27" s="7">
        <v>2021</v>
      </c>
      <c r="H27" s="7" t="str">
        <f>CONCATENATE("14210598091")</f>
        <v>14210598091</v>
      </c>
      <c r="I27" s="7" t="s">
        <v>30</v>
      </c>
      <c r="J27" s="7" t="s">
        <v>38</v>
      </c>
      <c r="K27" s="7" t="str">
        <f>CONCATENATE("")</f>
        <v/>
      </c>
      <c r="L27" s="7" t="str">
        <f>CONCATENATE("13 13.1 4a")</f>
        <v>13 13.1 4a</v>
      </c>
      <c r="M27" s="7" t="str">
        <f>CONCATENATE("MNCVRD34S01B352F")</f>
        <v>MNCVRD34S01B352F</v>
      </c>
      <c r="N27" s="7" t="s">
        <v>89</v>
      </c>
      <c r="O27" s="7" t="s">
        <v>82</v>
      </c>
      <c r="P27" s="8">
        <v>44735</v>
      </c>
      <c r="Q27" s="7" t="s">
        <v>31</v>
      </c>
      <c r="R27" s="7" t="s">
        <v>32</v>
      </c>
      <c r="S27" s="7" t="s">
        <v>33</v>
      </c>
      <c r="T27" s="7"/>
      <c r="U27" s="7" t="s">
        <v>34</v>
      </c>
      <c r="V27" s="9">
        <v>1518.84</v>
      </c>
      <c r="W27" s="7">
        <v>654.91999999999996</v>
      </c>
      <c r="X27" s="7">
        <v>604.79999999999995</v>
      </c>
      <c r="Y27" s="7">
        <v>0</v>
      </c>
      <c r="Z27" s="7">
        <v>259.12</v>
      </c>
    </row>
    <row r="28" spans="1:26" x14ac:dyDescent="0.35">
      <c r="A28" s="7" t="s">
        <v>27</v>
      </c>
      <c r="B28" s="7" t="s">
        <v>28</v>
      </c>
      <c r="C28" s="7" t="s">
        <v>47</v>
      </c>
      <c r="D28" s="7" t="s">
        <v>73</v>
      </c>
      <c r="E28" s="7" t="s">
        <v>46</v>
      </c>
      <c r="F28" s="7" t="s">
        <v>90</v>
      </c>
      <c r="G28" s="7">
        <v>2021</v>
      </c>
      <c r="H28" s="7" t="str">
        <f>CONCATENATE("14211582730")</f>
        <v>14211582730</v>
      </c>
      <c r="I28" s="7" t="s">
        <v>30</v>
      </c>
      <c r="J28" s="7" t="s">
        <v>38</v>
      </c>
      <c r="K28" s="7" t="str">
        <f>CONCATENATE("")</f>
        <v/>
      </c>
      <c r="L28" s="7" t="str">
        <f>CONCATENATE("13 13.1 4a")</f>
        <v>13 13.1 4a</v>
      </c>
      <c r="M28" s="7" t="str">
        <f>CONCATENATE("03283910408")</f>
        <v>03283910408</v>
      </c>
      <c r="N28" s="7" t="s">
        <v>91</v>
      </c>
      <c r="O28" s="7" t="s">
        <v>82</v>
      </c>
      <c r="P28" s="8">
        <v>44735</v>
      </c>
      <c r="Q28" s="7" t="s">
        <v>31</v>
      </c>
      <c r="R28" s="7" t="s">
        <v>32</v>
      </c>
      <c r="S28" s="7" t="s">
        <v>33</v>
      </c>
      <c r="T28" s="7"/>
      <c r="U28" s="7" t="s">
        <v>34</v>
      </c>
      <c r="V28" s="9">
        <v>1746.04</v>
      </c>
      <c r="W28" s="7">
        <v>752.89</v>
      </c>
      <c r="X28" s="7">
        <v>695.27</v>
      </c>
      <c r="Y28" s="7">
        <v>0</v>
      </c>
      <c r="Z28" s="7">
        <v>297.88</v>
      </c>
    </row>
    <row r="29" spans="1:26" x14ac:dyDescent="0.35">
      <c r="A29" s="7" t="s">
        <v>27</v>
      </c>
      <c r="B29" s="7" t="s">
        <v>28</v>
      </c>
      <c r="C29" s="7" t="s">
        <v>47</v>
      </c>
      <c r="D29" s="7" t="s">
        <v>53</v>
      </c>
      <c r="E29" s="7" t="s">
        <v>40</v>
      </c>
      <c r="F29" s="7" t="s">
        <v>92</v>
      </c>
      <c r="G29" s="7">
        <v>2021</v>
      </c>
      <c r="H29" s="7" t="str">
        <f>CONCATENATE("14210351145")</f>
        <v>14210351145</v>
      </c>
      <c r="I29" s="7" t="s">
        <v>41</v>
      </c>
      <c r="J29" s="7" t="s">
        <v>38</v>
      </c>
      <c r="K29" s="7" t="str">
        <f>CONCATENATE("")</f>
        <v/>
      </c>
      <c r="L29" s="7" t="str">
        <f>CONCATENATE("13 13.1 4a")</f>
        <v>13 13.1 4a</v>
      </c>
      <c r="M29" s="7" t="str">
        <f>CONCATENATE("CRFPPN66A10M078Z")</f>
        <v>CRFPPN66A10M078Z</v>
      </c>
      <c r="N29" s="7" t="s">
        <v>93</v>
      </c>
      <c r="O29" s="7" t="s">
        <v>94</v>
      </c>
      <c r="P29" s="8">
        <v>44735</v>
      </c>
      <c r="Q29" s="7" t="s">
        <v>31</v>
      </c>
      <c r="R29" s="7" t="s">
        <v>32</v>
      </c>
      <c r="S29" s="7" t="s">
        <v>33</v>
      </c>
      <c r="T29" s="7"/>
      <c r="U29" s="7" t="s">
        <v>34</v>
      </c>
      <c r="V29" s="9">
        <v>1080</v>
      </c>
      <c r="W29" s="7">
        <v>465.7</v>
      </c>
      <c r="X29" s="7">
        <v>430.06</v>
      </c>
      <c r="Y29" s="7">
        <v>0</v>
      </c>
      <c r="Z29" s="7">
        <v>184.24</v>
      </c>
    </row>
    <row r="30" spans="1:26" ht="17.5" x14ac:dyDescent="0.35">
      <c r="A30" s="7" t="s">
        <v>27</v>
      </c>
      <c r="B30" s="7" t="s">
        <v>28</v>
      </c>
      <c r="C30" s="7" t="s">
        <v>47</v>
      </c>
      <c r="D30" s="7" t="s">
        <v>53</v>
      </c>
      <c r="E30" s="7" t="s">
        <v>40</v>
      </c>
      <c r="F30" s="7" t="s">
        <v>95</v>
      </c>
      <c r="G30" s="7">
        <v>2021</v>
      </c>
      <c r="H30" s="7" t="str">
        <f>CONCATENATE("14210404753")</f>
        <v>14210404753</v>
      </c>
      <c r="I30" s="7" t="s">
        <v>30</v>
      </c>
      <c r="J30" s="7" t="s">
        <v>38</v>
      </c>
      <c r="K30" s="7" t="str">
        <f>CONCATENATE("")</f>
        <v/>
      </c>
      <c r="L30" s="7" t="str">
        <f>CONCATENATE("13 13.1 4a")</f>
        <v>13 13.1 4a</v>
      </c>
      <c r="M30" s="7" t="str">
        <f>CONCATENATE("01648640439")</f>
        <v>01648640439</v>
      </c>
      <c r="N30" s="7" t="s">
        <v>96</v>
      </c>
      <c r="O30" s="7" t="s">
        <v>94</v>
      </c>
      <c r="P30" s="8">
        <v>44735</v>
      </c>
      <c r="Q30" s="7" t="s">
        <v>31</v>
      </c>
      <c r="R30" s="7" t="s">
        <v>32</v>
      </c>
      <c r="S30" s="7" t="s">
        <v>33</v>
      </c>
      <c r="T30" s="7"/>
      <c r="U30" s="7" t="s">
        <v>34</v>
      </c>
      <c r="V30" s="9">
        <v>9000</v>
      </c>
      <c r="W30" s="9">
        <v>3880.8</v>
      </c>
      <c r="X30" s="9">
        <v>3583.8</v>
      </c>
      <c r="Y30" s="7">
        <v>0</v>
      </c>
      <c r="Z30" s="9">
        <v>1535.4</v>
      </c>
    </row>
    <row r="31" spans="1:26" x14ac:dyDescent="0.35">
      <c r="A31" s="7" t="s">
        <v>27</v>
      </c>
      <c r="B31" s="7" t="s">
        <v>28</v>
      </c>
      <c r="C31" s="7" t="s">
        <v>47</v>
      </c>
      <c r="D31" s="7" t="s">
        <v>59</v>
      </c>
      <c r="E31" s="7" t="s">
        <v>29</v>
      </c>
      <c r="F31" s="7" t="s">
        <v>97</v>
      </c>
      <c r="G31" s="7">
        <v>2021</v>
      </c>
      <c r="H31" s="7" t="str">
        <f>CONCATENATE("14210843281")</f>
        <v>14210843281</v>
      </c>
      <c r="I31" s="7" t="s">
        <v>41</v>
      </c>
      <c r="J31" s="7" t="s">
        <v>38</v>
      </c>
      <c r="K31" s="7" t="str">
        <f>CONCATENATE("")</f>
        <v/>
      </c>
      <c r="L31" s="7" t="str">
        <f>CONCATENATE("13 13.1 4a")</f>
        <v>13 13.1 4a</v>
      </c>
      <c r="M31" s="7" t="str">
        <f>CONCATENATE("01419970429")</f>
        <v>01419970429</v>
      </c>
      <c r="N31" s="7" t="s">
        <v>60</v>
      </c>
      <c r="O31" s="7" t="s">
        <v>94</v>
      </c>
      <c r="P31" s="8">
        <v>44735</v>
      </c>
      <c r="Q31" s="7" t="s">
        <v>31</v>
      </c>
      <c r="R31" s="7" t="s">
        <v>32</v>
      </c>
      <c r="S31" s="7" t="s">
        <v>33</v>
      </c>
      <c r="T31" s="7"/>
      <c r="U31" s="7" t="s">
        <v>34</v>
      </c>
      <c r="V31" s="9">
        <v>1350</v>
      </c>
      <c r="W31" s="7">
        <v>582.12</v>
      </c>
      <c r="X31" s="7">
        <v>537.57000000000005</v>
      </c>
      <c r="Y31" s="7">
        <v>0</v>
      </c>
      <c r="Z31" s="7">
        <v>230.31</v>
      </c>
    </row>
    <row r="32" spans="1:26" x14ac:dyDescent="0.35">
      <c r="A32" s="7" t="s">
        <v>27</v>
      </c>
      <c r="B32" s="7" t="s">
        <v>28</v>
      </c>
      <c r="C32" s="7" t="s">
        <v>47</v>
      </c>
      <c r="D32" s="7" t="s">
        <v>53</v>
      </c>
      <c r="E32" s="7" t="s">
        <v>40</v>
      </c>
      <c r="F32" s="7" t="s">
        <v>98</v>
      </c>
      <c r="G32" s="7">
        <v>2018</v>
      </c>
      <c r="H32" s="7" t="str">
        <f>CONCATENATE("84210882282")</f>
        <v>84210882282</v>
      </c>
      <c r="I32" s="7" t="s">
        <v>30</v>
      </c>
      <c r="J32" s="7" t="s">
        <v>38</v>
      </c>
      <c r="K32" s="7" t="str">
        <f>CONCATENATE("")</f>
        <v/>
      </c>
      <c r="L32" s="7" t="str">
        <f>CONCATENATE("13 13.1 4a")</f>
        <v>13 13.1 4a</v>
      </c>
      <c r="M32" s="7" t="str">
        <f>CONCATENATE("PTTTTL37D05H876G")</f>
        <v>PTTTTL37D05H876G</v>
      </c>
      <c r="N32" s="7" t="s">
        <v>99</v>
      </c>
      <c r="O32" s="7" t="s">
        <v>94</v>
      </c>
      <c r="P32" s="8">
        <v>44735</v>
      </c>
      <c r="Q32" s="7" t="s">
        <v>31</v>
      </c>
      <c r="R32" s="7" t="s">
        <v>32</v>
      </c>
      <c r="S32" s="7" t="s">
        <v>33</v>
      </c>
      <c r="T32" s="7"/>
      <c r="U32" s="7" t="s">
        <v>34</v>
      </c>
      <c r="V32" s="7">
        <v>155.12</v>
      </c>
      <c r="W32" s="7">
        <v>66.89</v>
      </c>
      <c r="X32" s="7">
        <v>61.77</v>
      </c>
      <c r="Y32" s="7">
        <v>0</v>
      </c>
      <c r="Z32" s="7">
        <v>26.46</v>
      </c>
    </row>
    <row r="33" spans="1:26" x14ac:dyDescent="0.35">
      <c r="A33" s="7" t="s">
        <v>27</v>
      </c>
      <c r="B33" s="7" t="s">
        <v>28</v>
      </c>
      <c r="C33" s="7" t="s">
        <v>47</v>
      </c>
      <c r="D33" s="7" t="s">
        <v>73</v>
      </c>
      <c r="E33" s="7" t="s">
        <v>36</v>
      </c>
      <c r="F33" s="7" t="s">
        <v>85</v>
      </c>
      <c r="G33" s="7">
        <v>2021</v>
      </c>
      <c r="H33" s="7" t="str">
        <f>CONCATENATE("14210812732")</f>
        <v>14210812732</v>
      </c>
      <c r="I33" s="7" t="s">
        <v>30</v>
      </c>
      <c r="J33" s="7" t="s">
        <v>38</v>
      </c>
      <c r="K33" s="7" t="str">
        <f>CONCATENATE("")</f>
        <v/>
      </c>
      <c r="L33" s="7" t="str">
        <f>CONCATENATE("13 13.1 4a")</f>
        <v>13 13.1 4a</v>
      </c>
      <c r="M33" s="7" t="str">
        <f>CONCATENATE("PNTGLN37C55A035D")</f>
        <v>PNTGLN37C55A035D</v>
      </c>
      <c r="N33" s="7" t="s">
        <v>100</v>
      </c>
      <c r="O33" s="7" t="s">
        <v>101</v>
      </c>
      <c r="P33" s="8">
        <v>44739</v>
      </c>
      <c r="Q33" s="7" t="s">
        <v>31</v>
      </c>
      <c r="R33" s="7" t="s">
        <v>32</v>
      </c>
      <c r="S33" s="7" t="s">
        <v>33</v>
      </c>
      <c r="T33" s="7"/>
      <c r="U33" s="7" t="s">
        <v>34</v>
      </c>
      <c r="V33" s="9">
        <v>1943.9</v>
      </c>
      <c r="W33" s="7">
        <v>838.21</v>
      </c>
      <c r="X33" s="7">
        <v>774.06</v>
      </c>
      <c r="Y33" s="7">
        <v>0</v>
      </c>
      <c r="Z33" s="7">
        <v>331.63</v>
      </c>
    </row>
    <row r="34" spans="1:26" x14ac:dyDescent="0.35">
      <c r="A34" s="7" t="s">
        <v>27</v>
      </c>
      <c r="B34" s="7" t="s">
        <v>28</v>
      </c>
      <c r="C34" s="7" t="s">
        <v>47</v>
      </c>
      <c r="D34" s="7" t="s">
        <v>73</v>
      </c>
      <c r="E34" s="7" t="s">
        <v>35</v>
      </c>
      <c r="F34" s="7" t="s">
        <v>83</v>
      </c>
      <c r="G34" s="7">
        <v>2021</v>
      </c>
      <c r="H34" s="7" t="str">
        <f>CONCATENATE("14211582524")</f>
        <v>14211582524</v>
      </c>
      <c r="I34" s="7" t="s">
        <v>30</v>
      </c>
      <c r="J34" s="7" t="s">
        <v>38</v>
      </c>
      <c r="K34" s="7" t="str">
        <f>CONCATENATE("")</f>
        <v/>
      </c>
      <c r="L34" s="7" t="str">
        <f>CONCATENATE("13 13.1 4a")</f>
        <v>13 13.1 4a</v>
      </c>
      <c r="M34" s="7" t="str">
        <f>CONCATENATE("02634470419")</f>
        <v>02634470419</v>
      </c>
      <c r="N34" s="7" t="s">
        <v>102</v>
      </c>
      <c r="O34" s="7" t="s">
        <v>101</v>
      </c>
      <c r="P34" s="8">
        <v>44739</v>
      </c>
      <c r="Q34" s="7" t="s">
        <v>31</v>
      </c>
      <c r="R34" s="7" t="s">
        <v>32</v>
      </c>
      <c r="S34" s="7" t="s">
        <v>33</v>
      </c>
      <c r="T34" s="7"/>
      <c r="U34" s="7" t="s">
        <v>34</v>
      </c>
      <c r="V34" s="9">
        <v>6180.7</v>
      </c>
      <c r="W34" s="9">
        <v>2665.12</v>
      </c>
      <c r="X34" s="9">
        <v>2461.15</v>
      </c>
      <c r="Y34" s="7">
        <v>0</v>
      </c>
      <c r="Z34" s="9">
        <v>1054.43</v>
      </c>
    </row>
    <row r="35" spans="1:26" x14ac:dyDescent="0.35">
      <c r="A35" s="7" t="s">
        <v>27</v>
      </c>
      <c r="B35" s="7" t="s">
        <v>28</v>
      </c>
      <c r="C35" s="7" t="s">
        <v>47</v>
      </c>
      <c r="D35" s="7" t="s">
        <v>59</v>
      </c>
      <c r="E35" s="7" t="s">
        <v>29</v>
      </c>
      <c r="F35" s="7" t="s">
        <v>103</v>
      </c>
      <c r="G35" s="7">
        <v>2016</v>
      </c>
      <c r="H35" s="7" t="str">
        <f>CONCATENATE("64240343547")</f>
        <v>64240343547</v>
      </c>
      <c r="I35" s="7" t="s">
        <v>30</v>
      </c>
      <c r="J35" s="7" t="s">
        <v>38</v>
      </c>
      <c r="K35" s="7" t="str">
        <f>CONCATENATE("")</f>
        <v/>
      </c>
      <c r="L35" s="7" t="str">
        <f>CONCATENATE("11 11.2 4b")</f>
        <v>11 11.2 4b</v>
      </c>
      <c r="M35" s="7" t="str">
        <f>CONCATENATE("CLOTRN54B05D211C")</f>
        <v>CLOTRN54B05D211C</v>
      </c>
      <c r="N35" s="7" t="s">
        <v>104</v>
      </c>
      <c r="O35" s="7" t="s">
        <v>105</v>
      </c>
      <c r="P35" s="8">
        <v>44735</v>
      </c>
      <c r="Q35" s="7" t="s">
        <v>31</v>
      </c>
      <c r="R35" s="7" t="s">
        <v>32</v>
      </c>
      <c r="S35" s="7" t="s">
        <v>33</v>
      </c>
      <c r="T35" s="7"/>
      <c r="U35" s="7" t="s">
        <v>34</v>
      </c>
      <c r="V35" s="7">
        <v>5.08</v>
      </c>
      <c r="W35" s="7">
        <v>2.19</v>
      </c>
      <c r="X35" s="7">
        <v>2.02</v>
      </c>
      <c r="Y35" s="7">
        <v>0</v>
      </c>
      <c r="Z35" s="7">
        <v>0.87</v>
      </c>
    </row>
    <row r="36" spans="1:26" x14ac:dyDescent="0.35">
      <c r="A36" s="7" t="s">
        <v>27</v>
      </c>
      <c r="B36" s="7" t="s">
        <v>28</v>
      </c>
      <c r="C36" s="7" t="s">
        <v>47</v>
      </c>
      <c r="D36" s="7" t="s">
        <v>59</v>
      </c>
      <c r="E36" s="7" t="s">
        <v>35</v>
      </c>
      <c r="F36" s="7" t="s">
        <v>106</v>
      </c>
      <c r="G36" s="7">
        <v>2021</v>
      </c>
      <c r="H36" s="7" t="str">
        <f>CONCATENATE("14241113449")</f>
        <v>14241113449</v>
      </c>
      <c r="I36" s="7" t="s">
        <v>30</v>
      </c>
      <c r="J36" s="7" t="s">
        <v>38</v>
      </c>
      <c r="K36" s="7" t="str">
        <f>CONCATENATE("")</f>
        <v/>
      </c>
      <c r="L36" s="7" t="str">
        <f>CONCATENATE("11 11.2 4b")</f>
        <v>11 11.2 4b</v>
      </c>
      <c r="M36" s="7" t="str">
        <f>CONCATENATE("03707030965")</f>
        <v>03707030965</v>
      </c>
      <c r="N36" s="7" t="s">
        <v>107</v>
      </c>
      <c r="O36" s="7" t="s">
        <v>105</v>
      </c>
      <c r="P36" s="8">
        <v>44735</v>
      </c>
      <c r="Q36" s="7" t="s">
        <v>31</v>
      </c>
      <c r="R36" s="7" t="s">
        <v>32</v>
      </c>
      <c r="S36" s="7" t="s">
        <v>33</v>
      </c>
      <c r="T36" s="7"/>
      <c r="U36" s="7" t="s">
        <v>34</v>
      </c>
      <c r="V36" s="9">
        <v>10973.75</v>
      </c>
      <c r="W36" s="9">
        <v>4731.88</v>
      </c>
      <c r="X36" s="9">
        <v>4369.75</v>
      </c>
      <c r="Y36" s="7">
        <v>0</v>
      </c>
      <c r="Z36" s="9">
        <v>1872.12</v>
      </c>
    </row>
    <row r="37" spans="1:26" x14ac:dyDescent="0.35">
      <c r="A37" s="7" t="s">
        <v>27</v>
      </c>
      <c r="B37" s="7" t="s">
        <v>28</v>
      </c>
      <c r="C37" s="7" t="s">
        <v>47</v>
      </c>
      <c r="D37" s="7" t="s">
        <v>59</v>
      </c>
      <c r="E37" s="7" t="s">
        <v>35</v>
      </c>
      <c r="F37" s="7" t="s">
        <v>106</v>
      </c>
      <c r="G37" s="7">
        <v>2021</v>
      </c>
      <c r="H37" s="7" t="str">
        <f>CONCATENATE("14241076554")</f>
        <v>14241076554</v>
      </c>
      <c r="I37" s="7" t="s">
        <v>30</v>
      </c>
      <c r="J37" s="7" t="s">
        <v>38</v>
      </c>
      <c r="K37" s="7" t="str">
        <f>CONCATENATE("")</f>
        <v/>
      </c>
      <c r="L37" s="7" t="str">
        <f>CONCATENATE("11 11.2 4b")</f>
        <v>11 11.2 4b</v>
      </c>
      <c r="M37" s="7" t="str">
        <f>CONCATENATE("03707030965")</f>
        <v>03707030965</v>
      </c>
      <c r="N37" s="7" t="s">
        <v>107</v>
      </c>
      <c r="O37" s="7" t="s">
        <v>105</v>
      </c>
      <c r="P37" s="8">
        <v>44735</v>
      </c>
      <c r="Q37" s="7" t="s">
        <v>31</v>
      </c>
      <c r="R37" s="7" t="s">
        <v>32</v>
      </c>
      <c r="S37" s="7" t="s">
        <v>33</v>
      </c>
      <c r="T37" s="7"/>
      <c r="U37" s="7" t="s">
        <v>34</v>
      </c>
      <c r="V37" s="9">
        <v>9188.19</v>
      </c>
      <c r="W37" s="9">
        <v>3961.95</v>
      </c>
      <c r="X37" s="9">
        <v>3658.74</v>
      </c>
      <c r="Y37" s="7">
        <v>0</v>
      </c>
      <c r="Z37" s="9">
        <v>1567.5</v>
      </c>
    </row>
    <row r="38" spans="1:26" x14ac:dyDescent="0.35">
      <c r="A38" s="7" t="s">
        <v>27</v>
      </c>
      <c r="B38" s="7" t="s">
        <v>28</v>
      </c>
      <c r="C38" s="7" t="s">
        <v>47</v>
      </c>
      <c r="D38" s="7" t="s">
        <v>59</v>
      </c>
      <c r="E38" s="7" t="s">
        <v>29</v>
      </c>
      <c r="F38" s="7" t="s">
        <v>108</v>
      </c>
      <c r="G38" s="7">
        <v>2021</v>
      </c>
      <c r="H38" s="7" t="str">
        <f>CONCATENATE("14241075804")</f>
        <v>14241075804</v>
      </c>
      <c r="I38" s="7" t="s">
        <v>30</v>
      </c>
      <c r="J38" s="7" t="s">
        <v>38</v>
      </c>
      <c r="K38" s="7" t="str">
        <f>CONCATENATE("")</f>
        <v/>
      </c>
      <c r="L38" s="7" t="str">
        <f>CONCATENATE("11 11.2 4b")</f>
        <v>11 11.2 4b</v>
      </c>
      <c r="M38" s="7" t="str">
        <f>CONCATENATE("02109470985")</f>
        <v>02109470985</v>
      </c>
      <c r="N38" s="7" t="s">
        <v>109</v>
      </c>
      <c r="O38" s="7" t="s">
        <v>105</v>
      </c>
      <c r="P38" s="8">
        <v>44735</v>
      </c>
      <c r="Q38" s="7" t="s">
        <v>31</v>
      </c>
      <c r="R38" s="7" t="s">
        <v>32</v>
      </c>
      <c r="S38" s="7" t="s">
        <v>33</v>
      </c>
      <c r="T38" s="7"/>
      <c r="U38" s="7" t="s">
        <v>34</v>
      </c>
      <c r="V38" s="7">
        <v>711.75</v>
      </c>
      <c r="W38" s="7">
        <v>306.91000000000003</v>
      </c>
      <c r="X38" s="7">
        <v>283.42</v>
      </c>
      <c r="Y38" s="7">
        <v>0</v>
      </c>
      <c r="Z38" s="7">
        <v>121.42</v>
      </c>
    </row>
    <row r="39" spans="1:26" x14ac:dyDescent="0.35">
      <c r="A39" s="7" t="s">
        <v>27</v>
      </c>
      <c r="B39" s="7" t="s">
        <v>28</v>
      </c>
      <c r="C39" s="7" t="s">
        <v>47</v>
      </c>
      <c r="D39" s="7" t="s">
        <v>59</v>
      </c>
      <c r="E39" s="7" t="s">
        <v>36</v>
      </c>
      <c r="F39" s="7" t="s">
        <v>110</v>
      </c>
      <c r="G39" s="7">
        <v>2021</v>
      </c>
      <c r="H39" s="7" t="str">
        <f>CONCATENATE("14241398321")</f>
        <v>14241398321</v>
      </c>
      <c r="I39" s="7" t="s">
        <v>30</v>
      </c>
      <c r="J39" s="7" t="s">
        <v>38</v>
      </c>
      <c r="K39" s="7" t="str">
        <f>CONCATENATE("")</f>
        <v/>
      </c>
      <c r="L39" s="7" t="str">
        <f>CONCATENATE("11 11.2 4b")</f>
        <v>11 11.2 4b</v>
      </c>
      <c r="M39" s="7" t="str">
        <f>CONCATENATE("00078000429")</f>
        <v>00078000429</v>
      </c>
      <c r="N39" s="7" t="s">
        <v>111</v>
      </c>
      <c r="O39" s="7" t="s">
        <v>105</v>
      </c>
      <c r="P39" s="8">
        <v>44735</v>
      </c>
      <c r="Q39" s="7" t="s">
        <v>31</v>
      </c>
      <c r="R39" s="7" t="s">
        <v>32</v>
      </c>
      <c r="S39" s="7" t="s">
        <v>33</v>
      </c>
      <c r="T39" s="7"/>
      <c r="U39" s="7" t="s">
        <v>34</v>
      </c>
      <c r="V39" s="9">
        <v>37763.660000000003</v>
      </c>
      <c r="W39" s="9">
        <v>16283.69</v>
      </c>
      <c r="X39" s="9">
        <v>15037.49</v>
      </c>
      <c r="Y39" s="7">
        <v>0</v>
      </c>
      <c r="Z39" s="9">
        <v>6442.48</v>
      </c>
    </row>
    <row r="40" spans="1:26" x14ac:dyDescent="0.35">
      <c r="A40" s="7" t="s">
        <v>27</v>
      </c>
      <c r="B40" s="7" t="s">
        <v>28</v>
      </c>
      <c r="C40" s="7" t="s">
        <v>47</v>
      </c>
      <c r="D40" s="7" t="s">
        <v>59</v>
      </c>
      <c r="E40" s="7" t="s">
        <v>29</v>
      </c>
      <c r="F40" s="7" t="s">
        <v>108</v>
      </c>
      <c r="G40" s="7">
        <v>2021</v>
      </c>
      <c r="H40" s="7" t="str">
        <f>CONCATENATE("14241076448")</f>
        <v>14241076448</v>
      </c>
      <c r="I40" s="7" t="s">
        <v>30</v>
      </c>
      <c r="J40" s="7" t="s">
        <v>38</v>
      </c>
      <c r="K40" s="7" t="str">
        <f>CONCATENATE("")</f>
        <v/>
      </c>
      <c r="L40" s="7" t="str">
        <f>CONCATENATE("11 11.2 4b")</f>
        <v>11 11.2 4b</v>
      </c>
      <c r="M40" s="7" t="str">
        <f>CONCATENATE("02109470985")</f>
        <v>02109470985</v>
      </c>
      <c r="N40" s="7" t="s">
        <v>109</v>
      </c>
      <c r="O40" s="7" t="s">
        <v>105</v>
      </c>
      <c r="P40" s="8">
        <v>44735</v>
      </c>
      <c r="Q40" s="7" t="s">
        <v>31</v>
      </c>
      <c r="R40" s="7" t="s">
        <v>32</v>
      </c>
      <c r="S40" s="7" t="s">
        <v>33</v>
      </c>
      <c r="T40" s="7"/>
      <c r="U40" s="7" t="s">
        <v>34</v>
      </c>
      <c r="V40" s="9">
        <v>4589.6400000000003</v>
      </c>
      <c r="W40" s="9">
        <v>1979.05</v>
      </c>
      <c r="X40" s="9">
        <v>1827.59</v>
      </c>
      <c r="Y40" s="7">
        <v>0</v>
      </c>
      <c r="Z40" s="7">
        <v>783</v>
      </c>
    </row>
    <row r="41" spans="1:26" x14ac:dyDescent="0.35">
      <c r="A41" s="7" t="s">
        <v>27</v>
      </c>
      <c r="B41" s="7" t="s">
        <v>28</v>
      </c>
      <c r="C41" s="7" t="s">
        <v>47</v>
      </c>
      <c r="D41" s="7" t="s">
        <v>53</v>
      </c>
      <c r="E41" s="7" t="s">
        <v>40</v>
      </c>
      <c r="F41" s="7" t="s">
        <v>92</v>
      </c>
      <c r="G41" s="7">
        <v>2021</v>
      </c>
      <c r="H41" s="7" t="str">
        <f>CONCATENATE("14240371048")</f>
        <v>14240371048</v>
      </c>
      <c r="I41" s="7" t="s">
        <v>41</v>
      </c>
      <c r="J41" s="7" t="s">
        <v>38</v>
      </c>
      <c r="K41" s="7" t="str">
        <f>CONCATENATE("")</f>
        <v/>
      </c>
      <c r="L41" s="7" t="str">
        <f>CONCATENATE("10 10.1 4a")</f>
        <v>10 10.1 4a</v>
      </c>
      <c r="M41" s="7" t="str">
        <f>CONCATENATE("CRFPPN66A10M078Z")</f>
        <v>CRFPPN66A10M078Z</v>
      </c>
      <c r="N41" s="7" t="s">
        <v>93</v>
      </c>
      <c r="O41" s="7" t="s">
        <v>112</v>
      </c>
      <c r="P41" s="8">
        <v>44735</v>
      </c>
      <c r="Q41" s="7" t="s">
        <v>31</v>
      </c>
      <c r="R41" s="7" t="s">
        <v>32</v>
      </c>
      <c r="S41" s="7" t="s">
        <v>33</v>
      </c>
      <c r="T41" s="7"/>
      <c r="U41" s="7" t="s">
        <v>34</v>
      </c>
      <c r="V41" s="9">
        <v>9733.7900000000009</v>
      </c>
      <c r="W41" s="9">
        <v>4197.21</v>
      </c>
      <c r="X41" s="9">
        <v>3876</v>
      </c>
      <c r="Y41" s="7">
        <v>0</v>
      </c>
      <c r="Z41" s="9">
        <v>1660.58</v>
      </c>
    </row>
    <row r="42" spans="1:26" x14ac:dyDescent="0.35">
      <c r="A42" s="7" t="s">
        <v>27</v>
      </c>
      <c r="B42" s="7" t="s">
        <v>28</v>
      </c>
      <c r="C42" s="7" t="s">
        <v>47</v>
      </c>
      <c r="D42" s="7" t="s">
        <v>53</v>
      </c>
      <c r="E42" s="7" t="s">
        <v>40</v>
      </c>
      <c r="F42" s="7" t="s">
        <v>92</v>
      </c>
      <c r="G42" s="7">
        <v>2021</v>
      </c>
      <c r="H42" s="7" t="str">
        <f>CONCATENATE("14240391673")</f>
        <v>14240391673</v>
      </c>
      <c r="I42" s="7" t="s">
        <v>30</v>
      </c>
      <c r="J42" s="7" t="s">
        <v>38</v>
      </c>
      <c r="K42" s="7" t="str">
        <f>CONCATENATE("")</f>
        <v/>
      </c>
      <c r="L42" s="7" t="str">
        <f>CONCATENATE("10 10.1 4a")</f>
        <v>10 10.1 4a</v>
      </c>
      <c r="M42" s="7" t="str">
        <f>CONCATENATE("PRSMHL86S54I156V")</f>
        <v>PRSMHL86S54I156V</v>
      </c>
      <c r="N42" s="7" t="s">
        <v>113</v>
      </c>
      <c r="O42" s="7" t="s">
        <v>112</v>
      </c>
      <c r="P42" s="8">
        <v>44735</v>
      </c>
      <c r="Q42" s="7" t="s">
        <v>31</v>
      </c>
      <c r="R42" s="7" t="s">
        <v>32</v>
      </c>
      <c r="S42" s="7" t="s">
        <v>33</v>
      </c>
      <c r="T42" s="7"/>
      <c r="U42" s="7" t="s">
        <v>34</v>
      </c>
      <c r="V42" s="9">
        <v>2805</v>
      </c>
      <c r="W42" s="9">
        <v>1209.52</v>
      </c>
      <c r="X42" s="9">
        <v>1116.95</v>
      </c>
      <c r="Y42" s="7">
        <v>0</v>
      </c>
      <c r="Z42" s="7">
        <v>478.53</v>
      </c>
    </row>
    <row r="43" spans="1:26" x14ac:dyDescent="0.35">
      <c r="A43" s="7" t="s">
        <v>27</v>
      </c>
      <c r="B43" s="7" t="s">
        <v>28</v>
      </c>
      <c r="C43" s="7" t="s">
        <v>47</v>
      </c>
      <c r="D43" s="7" t="s">
        <v>53</v>
      </c>
      <c r="E43" s="7" t="s">
        <v>40</v>
      </c>
      <c r="F43" s="7" t="s">
        <v>92</v>
      </c>
      <c r="G43" s="7">
        <v>2021</v>
      </c>
      <c r="H43" s="7" t="str">
        <f>CONCATENATE("14240796749")</f>
        <v>14240796749</v>
      </c>
      <c r="I43" s="7" t="s">
        <v>30</v>
      </c>
      <c r="J43" s="7" t="s">
        <v>38</v>
      </c>
      <c r="K43" s="7" t="str">
        <f>CONCATENATE("")</f>
        <v/>
      </c>
      <c r="L43" s="7" t="str">
        <f>CONCATENATE("10 10.1 4a")</f>
        <v>10 10.1 4a</v>
      </c>
      <c r="M43" s="7" t="str">
        <f>CONCATENATE("PRSMHL86S54I156V")</f>
        <v>PRSMHL86S54I156V</v>
      </c>
      <c r="N43" s="7" t="s">
        <v>113</v>
      </c>
      <c r="O43" s="7" t="s">
        <v>112</v>
      </c>
      <c r="P43" s="8">
        <v>44735</v>
      </c>
      <c r="Q43" s="7" t="s">
        <v>31</v>
      </c>
      <c r="R43" s="7" t="s">
        <v>32</v>
      </c>
      <c r="S43" s="7" t="s">
        <v>33</v>
      </c>
      <c r="T43" s="7"/>
      <c r="U43" s="7" t="s">
        <v>34</v>
      </c>
      <c r="V43" s="9">
        <v>16428.54</v>
      </c>
      <c r="W43" s="9">
        <v>7083.99</v>
      </c>
      <c r="X43" s="9">
        <v>6541.84</v>
      </c>
      <c r="Y43" s="7">
        <v>0</v>
      </c>
      <c r="Z43" s="9">
        <v>2802.71</v>
      </c>
    </row>
    <row r="44" spans="1:26" x14ac:dyDescent="0.35">
      <c r="A44" s="7" t="s">
        <v>27</v>
      </c>
      <c r="B44" s="7" t="s">
        <v>28</v>
      </c>
      <c r="C44" s="7" t="s">
        <v>47</v>
      </c>
      <c r="D44" s="7" t="s">
        <v>62</v>
      </c>
      <c r="E44" s="7" t="s">
        <v>35</v>
      </c>
      <c r="F44" s="7" t="s">
        <v>114</v>
      </c>
      <c r="G44" s="7">
        <v>2021</v>
      </c>
      <c r="H44" s="7" t="str">
        <f>CONCATENATE("14241343475")</f>
        <v>14241343475</v>
      </c>
      <c r="I44" s="7" t="s">
        <v>30</v>
      </c>
      <c r="J44" s="7" t="s">
        <v>38</v>
      </c>
      <c r="K44" s="7" t="str">
        <f>CONCATENATE("")</f>
        <v/>
      </c>
      <c r="L44" s="7" t="str">
        <f>CONCATENATE("10 10.1 4a")</f>
        <v>10 10.1 4a</v>
      </c>
      <c r="M44" s="7" t="str">
        <f>CONCATENATE("LRAFBA87T03A462Q")</f>
        <v>LRAFBA87T03A462Q</v>
      </c>
      <c r="N44" s="7" t="s">
        <v>115</v>
      </c>
      <c r="O44" s="7" t="s">
        <v>112</v>
      </c>
      <c r="P44" s="8">
        <v>44735</v>
      </c>
      <c r="Q44" s="7" t="s">
        <v>31</v>
      </c>
      <c r="R44" s="7" t="s">
        <v>32</v>
      </c>
      <c r="S44" s="7" t="s">
        <v>33</v>
      </c>
      <c r="T44" s="7"/>
      <c r="U44" s="7" t="s">
        <v>34</v>
      </c>
      <c r="V44" s="9">
        <v>1402.54</v>
      </c>
      <c r="W44" s="7">
        <v>604.78</v>
      </c>
      <c r="X44" s="7">
        <v>558.49</v>
      </c>
      <c r="Y44" s="7">
        <v>0</v>
      </c>
      <c r="Z44" s="7">
        <v>239.27</v>
      </c>
    </row>
    <row r="45" spans="1:26" x14ac:dyDescent="0.35">
      <c r="A45" s="7" t="s">
        <v>27</v>
      </c>
      <c r="B45" s="7" t="s">
        <v>28</v>
      </c>
      <c r="C45" s="7" t="s">
        <v>47</v>
      </c>
      <c r="D45" s="7" t="s">
        <v>73</v>
      </c>
      <c r="E45" s="7" t="s">
        <v>40</v>
      </c>
      <c r="F45" s="7" t="s">
        <v>116</v>
      </c>
      <c r="G45" s="7">
        <v>2021</v>
      </c>
      <c r="H45" s="7" t="str">
        <f>CONCATENATE("14241738096")</f>
        <v>14241738096</v>
      </c>
      <c r="I45" s="7" t="s">
        <v>30</v>
      </c>
      <c r="J45" s="7" t="s">
        <v>38</v>
      </c>
      <c r="K45" s="7" t="str">
        <f>CONCATENATE("")</f>
        <v/>
      </c>
      <c r="L45" s="7" t="str">
        <f>CONCATENATE("11 11.2 4b")</f>
        <v>11 11.2 4b</v>
      </c>
      <c r="M45" s="7" t="str">
        <f>CONCATENATE("04275730408")</f>
        <v>04275730408</v>
      </c>
      <c r="N45" s="7" t="s">
        <v>117</v>
      </c>
      <c r="O45" s="7" t="s">
        <v>118</v>
      </c>
      <c r="P45" s="8">
        <v>44735</v>
      </c>
      <c r="Q45" s="7" t="s">
        <v>31</v>
      </c>
      <c r="R45" s="7" t="s">
        <v>32</v>
      </c>
      <c r="S45" s="7" t="s">
        <v>33</v>
      </c>
      <c r="T45" s="7"/>
      <c r="U45" s="7" t="s">
        <v>34</v>
      </c>
      <c r="V45" s="7">
        <v>93.58</v>
      </c>
      <c r="W45" s="7">
        <v>40.35</v>
      </c>
      <c r="X45" s="7">
        <v>37.26</v>
      </c>
      <c r="Y45" s="7">
        <v>0</v>
      </c>
      <c r="Z45" s="7">
        <v>15.97</v>
      </c>
    </row>
    <row r="46" spans="1:26" x14ac:dyDescent="0.35">
      <c r="A46" s="7" t="s">
        <v>27</v>
      </c>
      <c r="B46" s="7" t="s">
        <v>28</v>
      </c>
      <c r="C46" s="7" t="s">
        <v>47</v>
      </c>
      <c r="D46" s="7" t="s">
        <v>73</v>
      </c>
      <c r="E46" s="7" t="s">
        <v>40</v>
      </c>
      <c r="F46" s="7" t="s">
        <v>116</v>
      </c>
      <c r="G46" s="7">
        <v>2021</v>
      </c>
      <c r="H46" s="7" t="str">
        <f>CONCATENATE("14241738146")</f>
        <v>14241738146</v>
      </c>
      <c r="I46" s="7" t="s">
        <v>30</v>
      </c>
      <c r="J46" s="7" t="s">
        <v>38</v>
      </c>
      <c r="K46" s="7" t="str">
        <f>CONCATENATE("")</f>
        <v/>
      </c>
      <c r="L46" s="7" t="str">
        <f>CONCATENATE("11 11.1 4b")</f>
        <v>11 11.1 4b</v>
      </c>
      <c r="M46" s="7" t="str">
        <f>CONCATENATE("BRCMRA54R16H949G")</f>
        <v>BRCMRA54R16H949G</v>
      </c>
      <c r="N46" s="7" t="s">
        <v>119</v>
      </c>
      <c r="O46" s="7" t="s">
        <v>118</v>
      </c>
      <c r="P46" s="8">
        <v>44735</v>
      </c>
      <c r="Q46" s="7" t="s">
        <v>31</v>
      </c>
      <c r="R46" s="7" t="s">
        <v>32</v>
      </c>
      <c r="S46" s="7" t="s">
        <v>33</v>
      </c>
      <c r="T46" s="7"/>
      <c r="U46" s="7" t="s">
        <v>34</v>
      </c>
      <c r="V46" s="7">
        <v>258.70999999999998</v>
      </c>
      <c r="W46" s="7">
        <v>111.56</v>
      </c>
      <c r="X46" s="7">
        <v>103.02</v>
      </c>
      <c r="Y46" s="7">
        <v>0</v>
      </c>
      <c r="Z46" s="7">
        <v>44.13</v>
      </c>
    </row>
    <row r="47" spans="1:26" ht="17.5" x14ac:dyDescent="0.35">
      <c r="A47" s="7" t="s">
        <v>27</v>
      </c>
      <c r="B47" s="7" t="s">
        <v>28</v>
      </c>
      <c r="C47" s="7" t="s">
        <v>47</v>
      </c>
      <c r="D47" s="7" t="s">
        <v>73</v>
      </c>
      <c r="E47" s="7" t="s">
        <v>35</v>
      </c>
      <c r="F47" s="7" t="s">
        <v>120</v>
      </c>
      <c r="G47" s="7">
        <v>2021</v>
      </c>
      <c r="H47" s="7" t="str">
        <f>CONCATENATE("14240927476")</f>
        <v>14240927476</v>
      </c>
      <c r="I47" s="7" t="s">
        <v>41</v>
      </c>
      <c r="J47" s="7" t="s">
        <v>38</v>
      </c>
      <c r="K47" s="7" t="str">
        <f>CONCATENATE("")</f>
        <v/>
      </c>
      <c r="L47" s="7" t="str">
        <f>CONCATENATE("11 11.2 4b")</f>
        <v>11 11.2 4b</v>
      </c>
      <c r="M47" s="7" t="str">
        <f>CONCATENATE("MNCNHN95T27D749B")</f>
        <v>MNCNHN95T27D749B</v>
      </c>
      <c r="N47" s="7" t="s">
        <v>121</v>
      </c>
      <c r="O47" s="7" t="s">
        <v>118</v>
      </c>
      <c r="P47" s="8">
        <v>44735</v>
      </c>
      <c r="Q47" s="7" t="s">
        <v>31</v>
      </c>
      <c r="R47" s="7" t="s">
        <v>32</v>
      </c>
      <c r="S47" s="7" t="s">
        <v>33</v>
      </c>
      <c r="T47" s="7"/>
      <c r="U47" s="7" t="s">
        <v>34</v>
      </c>
      <c r="V47" s="7">
        <v>859.38</v>
      </c>
      <c r="W47" s="7">
        <v>370.56</v>
      </c>
      <c r="X47" s="7">
        <v>342.21</v>
      </c>
      <c r="Y47" s="7">
        <v>0</v>
      </c>
      <c r="Z47" s="7">
        <v>146.61000000000001</v>
      </c>
    </row>
    <row r="48" spans="1:26" x14ac:dyDescent="0.35">
      <c r="A48" s="7" t="s">
        <v>27</v>
      </c>
      <c r="B48" s="7" t="s">
        <v>28</v>
      </c>
      <c r="C48" s="7" t="s">
        <v>47</v>
      </c>
      <c r="D48" s="7" t="s">
        <v>73</v>
      </c>
      <c r="E48" s="7" t="s">
        <v>40</v>
      </c>
      <c r="F48" s="7" t="s">
        <v>80</v>
      </c>
      <c r="G48" s="7">
        <v>2021</v>
      </c>
      <c r="H48" s="7" t="str">
        <f>CONCATENATE("14240632365")</f>
        <v>14240632365</v>
      </c>
      <c r="I48" s="7" t="s">
        <v>41</v>
      </c>
      <c r="J48" s="7" t="s">
        <v>38</v>
      </c>
      <c r="K48" s="7" t="str">
        <f>CONCATENATE("")</f>
        <v/>
      </c>
      <c r="L48" s="7" t="str">
        <f>CONCATENATE("11 11.2 4b")</f>
        <v>11 11.2 4b</v>
      </c>
      <c r="M48" s="7" t="str">
        <f>CONCATENATE("RMTMRK82T50L500A")</f>
        <v>RMTMRK82T50L500A</v>
      </c>
      <c r="N48" s="7" t="s">
        <v>81</v>
      </c>
      <c r="O48" s="7" t="s">
        <v>118</v>
      </c>
      <c r="P48" s="8">
        <v>44735</v>
      </c>
      <c r="Q48" s="7" t="s">
        <v>31</v>
      </c>
      <c r="R48" s="7" t="s">
        <v>32</v>
      </c>
      <c r="S48" s="7" t="s">
        <v>33</v>
      </c>
      <c r="T48" s="7"/>
      <c r="U48" s="7" t="s">
        <v>34</v>
      </c>
      <c r="V48" s="7">
        <v>383.63</v>
      </c>
      <c r="W48" s="7">
        <v>165.42</v>
      </c>
      <c r="X48" s="7">
        <v>152.76</v>
      </c>
      <c r="Y48" s="7">
        <v>0</v>
      </c>
      <c r="Z48" s="7">
        <v>65.45</v>
      </c>
    </row>
    <row r="49" spans="1:26" x14ac:dyDescent="0.35">
      <c r="A49" s="7" t="s">
        <v>27</v>
      </c>
      <c r="B49" s="7" t="s">
        <v>28</v>
      </c>
      <c r="C49" s="7" t="s">
        <v>47</v>
      </c>
      <c r="D49" s="7" t="s">
        <v>62</v>
      </c>
      <c r="E49" s="7" t="s">
        <v>35</v>
      </c>
      <c r="F49" s="7" t="s">
        <v>114</v>
      </c>
      <c r="G49" s="7">
        <v>2021</v>
      </c>
      <c r="H49" s="7" t="str">
        <f>CONCATENATE("14240628413")</f>
        <v>14240628413</v>
      </c>
      <c r="I49" s="7" t="s">
        <v>30</v>
      </c>
      <c r="J49" s="7" t="s">
        <v>38</v>
      </c>
      <c r="K49" s="7" t="str">
        <f>CONCATENATE("")</f>
        <v/>
      </c>
      <c r="L49" s="7" t="str">
        <f>CONCATENATE("11 11.2 4b")</f>
        <v>11 11.2 4b</v>
      </c>
      <c r="M49" s="7" t="str">
        <f>CONCATENATE("NBLMRA80E14A462Z")</f>
        <v>NBLMRA80E14A462Z</v>
      </c>
      <c r="N49" s="7" t="s">
        <v>122</v>
      </c>
      <c r="O49" s="7" t="s">
        <v>118</v>
      </c>
      <c r="P49" s="8">
        <v>44735</v>
      </c>
      <c r="Q49" s="7" t="s">
        <v>31</v>
      </c>
      <c r="R49" s="7" t="s">
        <v>32</v>
      </c>
      <c r="S49" s="7" t="s">
        <v>33</v>
      </c>
      <c r="T49" s="7"/>
      <c r="U49" s="7" t="s">
        <v>34</v>
      </c>
      <c r="V49" s="7">
        <v>61.12</v>
      </c>
      <c r="W49" s="7">
        <v>26.35</v>
      </c>
      <c r="X49" s="7">
        <v>24.34</v>
      </c>
      <c r="Y49" s="7">
        <v>0</v>
      </c>
      <c r="Z49" s="7">
        <v>10.43</v>
      </c>
    </row>
    <row r="50" spans="1:26" x14ac:dyDescent="0.35">
      <c r="A50" s="7" t="s">
        <v>27</v>
      </c>
      <c r="B50" s="7" t="s">
        <v>28</v>
      </c>
      <c r="C50" s="7" t="s">
        <v>47</v>
      </c>
      <c r="D50" s="7" t="s">
        <v>53</v>
      </c>
      <c r="E50" s="7" t="s">
        <v>35</v>
      </c>
      <c r="F50" s="7" t="s">
        <v>54</v>
      </c>
      <c r="G50" s="7">
        <v>2020</v>
      </c>
      <c r="H50" s="7" t="str">
        <f>CONCATENATE("04240216962")</f>
        <v>04240216962</v>
      </c>
      <c r="I50" s="7" t="s">
        <v>30</v>
      </c>
      <c r="J50" s="7" t="s">
        <v>38</v>
      </c>
      <c r="K50" s="7" t="str">
        <f>CONCATENATE("")</f>
        <v/>
      </c>
      <c r="L50" s="7" t="str">
        <f>CONCATENATE("11 11.2 4b")</f>
        <v>11 11.2 4b</v>
      </c>
      <c r="M50" s="7" t="str">
        <f>CONCATENATE("PLDFNC39T15I569K")</f>
        <v>PLDFNC39T15I569K</v>
      </c>
      <c r="N50" s="7" t="s">
        <v>123</v>
      </c>
      <c r="O50" s="7" t="s">
        <v>118</v>
      </c>
      <c r="P50" s="8">
        <v>44735</v>
      </c>
      <c r="Q50" s="7" t="s">
        <v>31</v>
      </c>
      <c r="R50" s="7" t="s">
        <v>32</v>
      </c>
      <c r="S50" s="7" t="s">
        <v>33</v>
      </c>
      <c r="T50" s="7"/>
      <c r="U50" s="7" t="s">
        <v>34</v>
      </c>
      <c r="V50" s="9">
        <v>11953.45</v>
      </c>
      <c r="W50" s="9">
        <v>5154.33</v>
      </c>
      <c r="X50" s="9">
        <v>4759.8599999999997</v>
      </c>
      <c r="Y50" s="7">
        <v>0</v>
      </c>
      <c r="Z50" s="9">
        <v>2039.26</v>
      </c>
    </row>
    <row r="51" spans="1:26" x14ac:dyDescent="0.35">
      <c r="A51" s="7" t="s">
        <v>27</v>
      </c>
      <c r="B51" s="7" t="s">
        <v>28</v>
      </c>
      <c r="C51" s="7" t="s">
        <v>47</v>
      </c>
      <c r="D51" s="7" t="s">
        <v>53</v>
      </c>
      <c r="E51" s="7" t="s">
        <v>45</v>
      </c>
      <c r="F51" s="7" t="s">
        <v>124</v>
      </c>
      <c r="G51" s="7">
        <v>2020</v>
      </c>
      <c r="H51" s="7" t="str">
        <f>CONCATENATE("04241053893")</f>
        <v>04241053893</v>
      </c>
      <c r="I51" s="7" t="s">
        <v>30</v>
      </c>
      <c r="J51" s="7" t="s">
        <v>38</v>
      </c>
      <c r="K51" s="7" t="str">
        <f>CONCATENATE("")</f>
        <v/>
      </c>
      <c r="L51" s="7" t="str">
        <f>CONCATENATE("11 11.2 4b")</f>
        <v>11 11.2 4b</v>
      </c>
      <c r="M51" s="7" t="str">
        <f>CONCATENATE("MZZRNN57E64L366R")</f>
        <v>MZZRNN57E64L366R</v>
      </c>
      <c r="N51" s="7" t="s">
        <v>125</v>
      </c>
      <c r="O51" s="7" t="s">
        <v>118</v>
      </c>
      <c r="P51" s="8">
        <v>44735</v>
      </c>
      <c r="Q51" s="7" t="s">
        <v>31</v>
      </c>
      <c r="R51" s="7" t="s">
        <v>32</v>
      </c>
      <c r="S51" s="7" t="s">
        <v>33</v>
      </c>
      <c r="T51" s="7"/>
      <c r="U51" s="7" t="s">
        <v>34</v>
      </c>
      <c r="V51" s="7">
        <v>853.5</v>
      </c>
      <c r="W51" s="7">
        <v>368.03</v>
      </c>
      <c r="X51" s="7">
        <v>339.86</v>
      </c>
      <c r="Y51" s="7">
        <v>0</v>
      </c>
      <c r="Z51" s="7">
        <v>145.61000000000001</v>
      </c>
    </row>
    <row r="52" spans="1:26" x14ac:dyDescent="0.35">
      <c r="A52" s="7" t="s">
        <v>27</v>
      </c>
      <c r="B52" s="7" t="s">
        <v>28</v>
      </c>
      <c r="C52" s="7" t="s">
        <v>47</v>
      </c>
      <c r="D52" s="7" t="s">
        <v>53</v>
      </c>
      <c r="E52" s="7" t="s">
        <v>35</v>
      </c>
      <c r="F52" s="7" t="s">
        <v>126</v>
      </c>
      <c r="G52" s="7">
        <v>2021</v>
      </c>
      <c r="H52" s="7" t="str">
        <f>CONCATENATE("14240979907")</f>
        <v>14240979907</v>
      </c>
      <c r="I52" s="7" t="s">
        <v>30</v>
      </c>
      <c r="J52" s="7" t="s">
        <v>38</v>
      </c>
      <c r="K52" s="7" t="str">
        <f>CONCATENATE("")</f>
        <v/>
      </c>
      <c r="L52" s="7" t="str">
        <f>CONCATENATE("11 11.2 4b")</f>
        <v>11 11.2 4b</v>
      </c>
      <c r="M52" s="7" t="str">
        <f>CONCATENATE("01909520437")</f>
        <v>01909520437</v>
      </c>
      <c r="N52" s="7" t="s">
        <v>127</v>
      </c>
      <c r="O52" s="7" t="s">
        <v>118</v>
      </c>
      <c r="P52" s="8">
        <v>44735</v>
      </c>
      <c r="Q52" s="7" t="s">
        <v>31</v>
      </c>
      <c r="R52" s="7" t="s">
        <v>32</v>
      </c>
      <c r="S52" s="7" t="s">
        <v>33</v>
      </c>
      <c r="T52" s="7"/>
      <c r="U52" s="7" t="s">
        <v>34</v>
      </c>
      <c r="V52" s="9">
        <v>1182.82</v>
      </c>
      <c r="W52" s="7">
        <v>510.03</v>
      </c>
      <c r="X52" s="7">
        <v>471</v>
      </c>
      <c r="Y52" s="7">
        <v>0</v>
      </c>
      <c r="Z52" s="7">
        <v>201.79</v>
      </c>
    </row>
    <row r="53" spans="1:26" ht="17.5" x14ac:dyDescent="0.35">
      <c r="A53" s="7" t="s">
        <v>27</v>
      </c>
      <c r="B53" s="7" t="s">
        <v>28</v>
      </c>
      <c r="C53" s="7" t="s">
        <v>47</v>
      </c>
      <c r="D53" s="7" t="s">
        <v>53</v>
      </c>
      <c r="E53" s="7" t="s">
        <v>40</v>
      </c>
      <c r="F53" s="7" t="s">
        <v>95</v>
      </c>
      <c r="G53" s="7">
        <v>2021</v>
      </c>
      <c r="H53" s="7" t="str">
        <f>CONCATENATE("14240609132")</f>
        <v>14240609132</v>
      </c>
      <c r="I53" s="7" t="s">
        <v>30</v>
      </c>
      <c r="J53" s="7" t="s">
        <v>38</v>
      </c>
      <c r="K53" s="7" t="str">
        <f>CONCATENATE("")</f>
        <v/>
      </c>
      <c r="L53" s="7" t="str">
        <f>CONCATENATE("11 11.1 4b")</f>
        <v>11 11.1 4b</v>
      </c>
      <c r="M53" s="7" t="str">
        <f>CONCATENATE("01648640439")</f>
        <v>01648640439</v>
      </c>
      <c r="N53" s="7" t="s">
        <v>96</v>
      </c>
      <c r="O53" s="7" t="s">
        <v>118</v>
      </c>
      <c r="P53" s="8">
        <v>44735</v>
      </c>
      <c r="Q53" s="7" t="s">
        <v>31</v>
      </c>
      <c r="R53" s="7" t="s">
        <v>32</v>
      </c>
      <c r="S53" s="7" t="s">
        <v>33</v>
      </c>
      <c r="T53" s="7"/>
      <c r="U53" s="7" t="s">
        <v>34</v>
      </c>
      <c r="V53" s="9">
        <v>2830.6</v>
      </c>
      <c r="W53" s="9">
        <v>1220.55</v>
      </c>
      <c r="X53" s="9">
        <v>1127.1400000000001</v>
      </c>
      <c r="Y53" s="7">
        <v>0</v>
      </c>
      <c r="Z53" s="7">
        <v>482.91</v>
      </c>
    </row>
    <row r="54" spans="1:26" x14ac:dyDescent="0.35">
      <c r="A54" s="7" t="s">
        <v>27</v>
      </c>
      <c r="B54" s="7" t="s">
        <v>28</v>
      </c>
      <c r="C54" s="7" t="s">
        <v>47</v>
      </c>
      <c r="D54" s="7" t="s">
        <v>73</v>
      </c>
      <c r="E54" s="7" t="s">
        <v>36</v>
      </c>
      <c r="F54" s="7" t="s">
        <v>85</v>
      </c>
      <c r="G54" s="7">
        <v>2021</v>
      </c>
      <c r="H54" s="7" t="str">
        <f>CONCATENATE("14241739508")</f>
        <v>14241739508</v>
      </c>
      <c r="I54" s="7" t="s">
        <v>30</v>
      </c>
      <c r="J54" s="7" t="s">
        <v>38</v>
      </c>
      <c r="K54" s="7" t="str">
        <f>CONCATENATE("")</f>
        <v/>
      </c>
      <c r="L54" s="7" t="str">
        <f>CONCATENATE("11 11.2 4b")</f>
        <v>11 11.2 4b</v>
      </c>
      <c r="M54" s="7" t="str">
        <f>CONCATENATE("00199680547")</f>
        <v>00199680547</v>
      </c>
      <c r="N54" s="7" t="s">
        <v>128</v>
      </c>
      <c r="O54" s="7" t="s">
        <v>118</v>
      </c>
      <c r="P54" s="8">
        <v>44735</v>
      </c>
      <c r="Q54" s="7" t="s">
        <v>31</v>
      </c>
      <c r="R54" s="7" t="s">
        <v>32</v>
      </c>
      <c r="S54" s="7" t="s">
        <v>33</v>
      </c>
      <c r="T54" s="7"/>
      <c r="U54" s="7" t="s">
        <v>34</v>
      </c>
      <c r="V54" s="9">
        <v>8902.69</v>
      </c>
      <c r="W54" s="9">
        <v>3838.84</v>
      </c>
      <c r="X54" s="9">
        <v>3545.05</v>
      </c>
      <c r="Y54" s="7">
        <v>0</v>
      </c>
      <c r="Z54" s="9">
        <v>1518.8</v>
      </c>
    </row>
    <row r="55" spans="1:26" x14ac:dyDescent="0.35">
      <c r="A55" s="7" t="s">
        <v>27</v>
      </c>
      <c r="B55" s="7" t="s">
        <v>28</v>
      </c>
      <c r="C55" s="7" t="s">
        <v>47</v>
      </c>
      <c r="D55" s="7" t="s">
        <v>62</v>
      </c>
      <c r="E55" s="7" t="s">
        <v>40</v>
      </c>
      <c r="F55" s="7" t="s">
        <v>67</v>
      </c>
      <c r="G55" s="7">
        <v>2021</v>
      </c>
      <c r="H55" s="7" t="str">
        <f>CONCATENATE("14241008664")</f>
        <v>14241008664</v>
      </c>
      <c r="I55" s="7" t="s">
        <v>30</v>
      </c>
      <c r="J55" s="7" t="s">
        <v>38</v>
      </c>
      <c r="K55" s="7" t="str">
        <f>CONCATENATE("")</f>
        <v/>
      </c>
      <c r="L55" s="7" t="str">
        <f>CONCATENATE("11 11.1 4b")</f>
        <v>11 11.1 4b</v>
      </c>
      <c r="M55" s="7" t="str">
        <f>CONCATENATE("SNZBBR82T61D542C")</f>
        <v>SNZBBR82T61D542C</v>
      </c>
      <c r="N55" s="7" t="s">
        <v>129</v>
      </c>
      <c r="O55" s="7" t="s">
        <v>118</v>
      </c>
      <c r="P55" s="8">
        <v>44735</v>
      </c>
      <c r="Q55" s="7" t="s">
        <v>31</v>
      </c>
      <c r="R55" s="7" t="s">
        <v>32</v>
      </c>
      <c r="S55" s="7" t="s">
        <v>33</v>
      </c>
      <c r="T55" s="7"/>
      <c r="U55" s="7" t="s">
        <v>34</v>
      </c>
      <c r="V55" s="9">
        <v>1618.41</v>
      </c>
      <c r="W55" s="7">
        <v>697.86</v>
      </c>
      <c r="X55" s="7">
        <v>644.45000000000005</v>
      </c>
      <c r="Y55" s="7">
        <v>0</v>
      </c>
      <c r="Z55" s="7">
        <v>276.10000000000002</v>
      </c>
    </row>
    <row r="56" spans="1:26" x14ac:dyDescent="0.35">
      <c r="A56" s="7" t="s">
        <v>27</v>
      </c>
      <c r="B56" s="7" t="s">
        <v>28</v>
      </c>
      <c r="C56" s="7" t="s">
        <v>47</v>
      </c>
      <c r="D56" s="7" t="s">
        <v>53</v>
      </c>
      <c r="E56" s="7" t="s">
        <v>35</v>
      </c>
      <c r="F56" s="7" t="s">
        <v>54</v>
      </c>
      <c r="G56" s="7">
        <v>2021</v>
      </c>
      <c r="H56" s="7" t="str">
        <f>CONCATENATE("14240835380")</f>
        <v>14240835380</v>
      </c>
      <c r="I56" s="7" t="s">
        <v>30</v>
      </c>
      <c r="J56" s="7" t="s">
        <v>38</v>
      </c>
      <c r="K56" s="7" t="str">
        <f>CONCATENATE("")</f>
        <v/>
      </c>
      <c r="L56" s="7" t="str">
        <f>CONCATENATE("11 11.2 4b")</f>
        <v>11 11.2 4b</v>
      </c>
      <c r="M56" s="7" t="str">
        <f>CONCATENATE("00894170158")</f>
        <v>00894170158</v>
      </c>
      <c r="N56" s="7" t="s">
        <v>130</v>
      </c>
      <c r="O56" s="7" t="s">
        <v>118</v>
      </c>
      <c r="P56" s="8">
        <v>44735</v>
      </c>
      <c r="Q56" s="7" t="s">
        <v>31</v>
      </c>
      <c r="R56" s="7" t="s">
        <v>32</v>
      </c>
      <c r="S56" s="7" t="s">
        <v>33</v>
      </c>
      <c r="T56" s="7"/>
      <c r="U56" s="7" t="s">
        <v>34</v>
      </c>
      <c r="V56" s="9">
        <v>15943.38</v>
      </c>
      <c r="W56" s="9">
        <v>6874.79</v>
      </c>
      <c r="X56" s="9">
        <v>6348.65</v>
      </c>
      <c r="Y56" s="7">
        <v>0</v>
      </c>
      <c r="Z56" s="9">
        <v>2719.94</v>
      </c>
    </row>
    <row r="57" spans="1:26" x14ac:dyDescent="0.35">
      <c r="A57" s="7" t="s">
        <v>27</v>
      </c>
      <c r="B57" s="7" t="s">
        <v>28</v>
      </c>
      <c r="C57" s="7" t="s">
        <v>47</v>
      </c>
      <c r="D57" s="7" t="s">
        <v>62</v>
      </c>
      <c r="E57" s="7" t="s">
        <v>40</v>
      </c>
      <c r="F57" s="7" t="s">
        <v>67</v>
      </c>
      <c r="G57" s="7">
        <v>2021</v>
      </c>
      <c r="H57" s="7" t="str">
        <f>CONCATENATE("14241015412")</f>
        <v>14241015412</v>
      </c>
      <c r="I57" s="7" t="s">
        <v>30</v>
      </c>
      <c r="J57" s="7" t="s">
        <v>38</v>
      </c>
      <c r="K57" s="7" t="str">
        <f>CONCATENATE("")</f>
        <v/>
      </c>
      <c r="L57" s="7" t="str">
        <f>CONCATENATE("11 11.2 4b")</f>
        <v>11 11.2 4b</v>
      </c>
      <c r="M57" s="7" t="str">
        <f>CONCATENATE("SNZBBR82T61D542C")</f>
        <v>SNZBBR82T61D542C</v>
      </c>
      <c r="N57" s="7" t="s">
        <v>129</v>
      </c>
      <c r="O57" s="7" t="s">
        <v>118</v>
      </c>
      <c r="P57" s="8">
        <v>44735</v>
      </c>
      <c r="Q57" s="7" t="s">
        <v>31</v>
      </c>
      <c r="R57" s="7" t="s">
        <v>32</v>
      </c>
      <c r="S57" s="7" t="s">
        <v>33</v>
      </c>
      <c r="T57" s="7"/>
      <c r="U57" s="7" t="s">
        <v>34</v>
      </c>
      <c r="V57" s="7">
        <v>904.75</v>
      </c>
      <c r="W57" s="7">
        <v>390.13</v>
      </c>
      <c r="X57" s="7">
        <v>360.27</v>
      </c>
      <c r="Y57" s="7">
        <v>0</v>
      </c>
      <c r="Z57" s="7">
        <v>154.35</v>
      </c>
    </row>
    <row r="58" spans="1:26" ht="17.5" x14ac:dyDescent="0.35">
      <c r="A58" s="7" t="s">
        <v>27</v>
      </c>
      <c r="B58" s="7" t="s">
        <v>28</v>
      </c>
      <c r="C58" s="7" t="s">
        <v>47</v>
      </c>
      <c r="D58" s="7" t="s">
        <v>53</v>
      </c>
      <c r="E58" s="7" t="s">
        <v>40</v>
      </c>
      <c r="F58" s="7" t="s">
        <v>95</v>
      </c>
      <c r="G58" s="7">
        <v>2021</v>
      </c>
      <c r="H58" s="7" t="str">
        <f>CONCATENATE("14240608761")</f>
        <v>14240608761</v>
      </c>
      <c r="I58" s="7" t="s">
        <v>30</v>
      </c>
      <c r="J58" s="7" t="s">
        <v>38</v>
      </c>
      <c r="K58" s="7" t="str">
        <f>CONCATENATE("")</f>
        <v/>
      </c>
      <c r="L58" s="7" t="str">
        <f>CONCATENATE("11 11.2 4b")</f>
        <v>11 11.2 4b</v>
      </c>
      <c r="M58" s="7" t="str">
        <f>CONCATENATE("01648640439")</f>
        <v>01648640439</v>
      </c>
      <c r="N58" s="7" t="s">
        <v>96</v>
      </c>
      <c r="O58" s="7" t="s">
        <v>118</v>
      </c>
      <c r="P58" s="8">
        <v>44735</v>
      </c>
      <c r="Q58" s="7" t="s">
        <v>31</v>
      </c>
      <c r="R58" s="7" t="s">
        <v>32</v>
      </c>
      <c r="S58" s="7" t="s">
        <v>33</v>
      </c>
      <c r="T58" s="7"/>
      <c r="U58" s="7" t="s">
        <v>34</v>
      </c>
      <c r="V58" s="9">
        <v>4521.25</v>
      </c>
      <c r="W58" s="9">
        <v>1949.56</v>
      </c>
      <c r="X58" s="9">
        <v>1800.36</v>
      </c>
      <c r="Y58" s="7">
        <v>0</v>
      </c>
      <c r="Z58" s="7">
        <v>771.33</v>
      </c>
    </row>
    <row r="59" spans="1:26" ht="17.5" x14ac:dyDescent="0.35">
      <c r="A59" s="7" t="s">
        <v>27</v>
      </c>
      <c r="B59" s="7" t="s">
        <v>28</v>
      </c>
      <c r="C59" s="7" t="s">
        <v>47</v>
      </c>
      <c r="D59" s="7" t="s">
        <v>53</v>
      </c>
      <c r="E59" s="7" t="s">
        <v>40</v>
      </c>
      <c r="F59" s="7" t="s">
        <v>95</v>
      </c>
      <c r="G59" s="7">
        <v>2021</v>
      </c>
      <c r="H59" s="7" t="str">
        <f>CONCATENATE("14240608159")</f>
        <v>14240608159</v>
      </c>
      <c r="I59" s="7" t="s">
        <v>30</v>
      </c>
      <c r="J59" s="7" t="s">
        <v>38</v>
      </c>
      <c r="K59" s="7" t="str">
        <f>CONCATENATE("")</f>
        <v/>
      </c>
      <c r="L59" s="7" t="str">
        <f>CONCATENATE("11 11.2 4b")</f>
        <v>11 11.2 4b</v>
      </c>
      <c r="M59" s="7" t="str">
        <f>CONCATENATE("01648640439")</f>
        <v>01648640439</v>
      </c>
      <c r="N59" s="7" t="s">
        <v>96</v>
      </c>
      <c r="O59" s="7" t="s">
        <v>118</v>
      </c>
      <c r="P59" s="8">
        <v>44735</v>
      </c>
      <c r="Q59" s="7" t="s">
        <v>31</v>
      </c>
      <c r="R59" s="7" t="s">
        <v>32</v>
      </c>
      <c r="S59" s="7" t="s">
        <v>33</v>
      </c>
      <c r="T59" s="7"/>
      <c r="U59" s="7" t="s">
        <v>34</v>
      </c>
      <c r="V59" s="9">
        <v>6644.63</v>
      </c>
      <c r="W59" s="9">
        <v>2865.16</v>
      </c>
      <c r="X59" s="9">
        <v>2645.89</v>
      </c>
      <c r="Y59" s="7">
        <v>0</v>
      </c>
      <c r="Z59" s="9">
        <v>1133.58</v>
      </c>
    </row>
    <row r="60" spans="1:26" ht="17.5" x14ac:dyDescent="0.35">
      <c r="A60" s="7" t="s">
        <v>27</v>
      </c>
      <c r="B60" s="7" t="s">
        <v>28</v>
      </c>
      <c r="C60" s="7" t="s">
        <v>47</v>
      </c>
      <c r="D60" s="7" t="s">
        <v>62</v>
      </c>
      <c r="E60" s="7" t="s">
        <v>43</v>
      </c>
      <c r="F60" s="7" t="s">
        <v>131</v>
      </c>
      <c r="G60" s="7">
        <v>2021</v>
      </c>
      <c r="H60" s="7" t="str">
        <f>CONCATENATE("14240675521")</f>
        <v>14240675521</v>
      </c>
      <c r="I60" s="7" t="s">
        <v>41</v>
      </c>
      <c r="J60" s="7" t="s">
        <v>38</v>
      </c>
      <c r="K60" s="7" t="str">
        <f>CONCATENATE("")</f>
        <v/>
      </c>
      <c r="L60" s="7" t="str">
        <f>CONCATENATE("11 11.2 4b")</f>
        <v>11 11.2 4b</v>
      </c>
      <c r="M60" s="7" t="str">
        <f>CONCATENATE("BRNMGD69H56G005S")</f>
        <v>BRNMGD69H56G005S</v>
      </c>
      <c r="N60" s="7" t="s">
        <v>132</v>
      </c>
      <c r="O60" s="7" t="s">
        <v>118</v>
      </c>
      <c r="P60" s="8">
        <v>44735</v>
      </c>
      <c r="Q60" s="7" t="s">
        <v>31</v>
      </c>
      <c r="R60" s="7" t="s">
        <v>32</v>
      </c>
      <c r="S60" s="7" t="s">
        <v>33</v>
      </c>
      <c r="T60" s="7"/>
      <c r="U60" s="7" t="s">
        <v>34</v>
      </c>
      <c r="V60" s="9">
        <v>2159.9499999999998</v>
      </c>
      <c r="W60" s="7">
        <v>931.37</v>
      </c>
      <c r="X60" s="7">
        <v>860.09</v>
      </c>
      <c r="Y60" s="7">
        <v>0</v>
      </c>
      <c r="Z60" s="7">
        <v>368.49</v>
      </c>
    </row>
    <row r="61" spans="1:26" x14ac:dyDescent="0.35">
      <c r="A61" s="7" t="s">
        <v>27</v>
      </c>
      <c r="B61" s="7" t="s">
        <v>28</v>
      </c>
      <c r="C61" s="7" t="s">
        <v>47</v>
      </c>
      <c r="D61" s="7" t="s">
        <v>62</v>
      </c>
      <c r="E61" s="7" t="s">
        <v>40</v>
      </c>
      <c r="F61" s="7" t="s">
        <v>67</v>
      </c>
      <c r="G61" s="7">
        <v>2021</v>
      </c>
      <c r="H61" s="7" t="str">
        <f>CONCATENATE("14241013516")</f>
        <v>14241013516</v>
      </c>
      <c r="I61" s="7" t="s">
        <v>30</v>
      </c>
      <c r="J61" s="7" t="s">
        <v>38</v>
      </c>
      <c r="K61" s="7" t="str">
        <f>CONCATENATE("")</f>
        <v/>
      </c>
      <c r="L61" s="7" t="str">
        <f>CONCATENATE("11 11.1 4b")</f>
        <v>11 11.1 4b</v>
      </c>
      <c r="M61" s="7" t="str">
        <f>CONCATENATE("SNZBBR82T61D542C")</f>
        <v>SNZBBR82T61D542C</v>
      </c>
      <c r="N61" s="7" t="s">
        <v>129</v>
      </c>
      <c r="O61" s="7" t="s">
        <v>118</v>
      </c>
      <c r="P61" s="8">
        <v>44735</v>
      </c>
      <c r="Q61" s="7" t="s">
        <v>31</v>
      </c>
      <c r="R61" s="7" t="s">
        <v>32</v>
      </c>
      <c r="S61" s="7" t="s">
        <v>33</v>
      </c>
      <c r="T61" s="7"/>
      <c r="U61" s="7" t="s">
        <v>34</v>
      </c>
      <c r="V61" s="9">
        <v>2565.9499999999998</v>
      </c>
      <c r="W61" s="9">
        <v>1106.44</v>
      </c>
      <c r="X61" s="9">
        <v>1021.76</v>
      </c>
      <c r="Y61" s="7">
        <v>0</v>
      </c>
      <c r="Z61" s="7">
        <v>437.75</v>
      </c>
    </row>
    <row r="62" spans="1:26" x14ac:dyDescent="0.35">
      <c r="A62" s="7" t="s">
        <v>27</v>
      </c>
      <c r="B62" s="7" t="s">
        <v>28</v>
      </c>
      <c r="C62" s="7" t="s">
        <v>47</v>
      </c>
      <c r="D62" s="7" t="s">
        <v>62</v>
      </c>
      <c r="E62" s="7" t="s">
        <v>39</v>
      </c>
      <c r="F62" s="7" t="s">
        <v>39</v>
      </c>
      <c r="G62" s="7">
        <v>2021</v>
      </c>
      <c r="H62" s="7" t="str">
        <f>CONCATENATE("14240992744")</f>
        <v>14240992744</v>
      </c>
      <c r="I62" s="7" t="s">
        <v>30</v>
      </c>
      <c r="J62" s="7" t="s">
        <v>38</v>
      </c>
      <c r="K62" s="7" t="str">
        <f>CONCATENATE("")</f>
        <v/>
      </c>
      <c r="L62" s="7" t="str">
        <f>CONCATENATE("14 14.1 3a")</f>
        <v>14 14.1 3a</v>
      </c>
      <c r="M62" s="7" t="str">
        <f>CONCATENATE("02274720446")</f>
        <v>02274720446</v>
      </c>
      <c r="N62" s="7" t="s">
        <v>133</v>
      </c>
      <c r="O62" s="7" t="s">
        <v>134</v>
      </c>
      <c r="P62" s="8">
        <v>44735</v>
      </c>
      <c r="Q62" s="7" t="s">
        <v>31</v>
      </c>
      <c r="R62" s="7" t="s">
        <v>32</v>
      </c>
      <c r="S62" s="7" t="s">
        <v>33</v>
      </c>
      <c r="T62" s="7"/>
      <c r="U62" s="7" t="s">
        <v>34</v>
      </c>
      <c r="V62" s="9">
        <v>11520</v>
      </c>
      <c r="W62" s="9">
        <v>4967.42</v>
      </c>
      <c r="X62" s="9">
        <v>4587.26</v>
      </c>
      <c r="Y62" s="7">
        <v>0</v>
      </c>
      <c r="Z62" s="9">
        <v>1965.32</v>
      </c>
    </row>
    <row r="63" spans="1:26" x14ac:dyDescent="0.35">
      <c r="A63" s="7" t="s">
        <v>27</v>
      </c>
      <c r="B63" s="7" t="s">
        <v>28</v>
      </c>
      <c r="C63" s="7" t="s">
        <v>47</v>
      </c>
      <c r="D63" s="7" t="s">
        <v>53</v>
      </c>
      <c r="E63" s="7" t="s">
        <v>35</v>
      </c>
      <c r="F63" s="7" t="s">
        <v>54</v>
      </c>
      <c r="G63" s="7">
        <v>2021</v>
      </c>
      <c r="H63" s="7" t="str">
        <f>CONCATENATE("14210043452")</f>
        <v>14210043452</v>
      </c>
      <c r="I63" s="7" t="s">
        <v>41</v>
      </c>
      <c r="J63" s="7" t="s">
        <v>38</v>
      </c>
      <c r="K63" s="7" t="str">
        <f>CONCATENATE("")</f>
        <v/>
      </c>
      <c r="L63" s="7" t="str">
        <f>CONCATENATE("13 13.1 4a")</f>
        <v>13 13.1 4a</v>
      </c>
      <c r="M63" s="7" t="str">
        <f>CONCATENATE("FBRFST81T23B474X")</f>
        <v>FBRFST81T23B474X</v>
      </c>
      <c r="N63" s="7" t="s">
        <v>55</v>
      </c>
      <c r="O63" s="7" t="s">
        <v>135</v>
      </c>
      <c r="P63" s="8">
        <v>44739</v>
      </c>
      <c r="Q63" s="7" t="s">
        <v>31</v>
      </c>
      <c r="R63" s="7" t="s">
        <v>32</v>
      </c>
      <c r="S63" s="7" t="s">
        <v>33</v>
      </c>
      <c r="T63" s="7"/>
      <c r="U63" s="7" t="s">
        <v>34</v>
      </c>
      <c r="V63" s="7">
        <v>214.83</v>
      </c>
      <c r="W63" s="7">
        <v>92.63</v>
      </c>
      <c r="X63" s="7">
        <v>85.55</v>
      </c>
      <c r="Y63" s="7">
        <v>0</v>
      </c>
      <c r="Z63" s="7">
        <v>36.65</v>
      </c>
    </row>
    <row r="64" spans="1:26" x14ac:dyDescent="0.35">
      <c r="A64" s="7" t="s">
        <v>27</v>
      </c>
      <c r="B64" s="7" t="s">
        <v>28</v>
      </c>
      <c r="C64" s="7" t="s">
        <v>47</v>
      </c>
      <c r="D64" s="7" t="s">
        <v>53</v>
      </c>
      <c r="E64" s="7" t="s">
        <v>35</v>
      </c>
      <c r="F64" s="7" t="s">
        <v>54</v>
      </c>
      <c r="G64" s="7">
        <v>2021</v>
      </c>
      <c r="H64" s="7" t="str">
        <f>CONCATENATE("14211138087")</f>
        <v>14211138087</v>
      </c>
      <c r="I64" s="7" t="s">
        <v>30</v>
      </c>
      <c r="J64" s="7" t="s">
        <v>38</v>
      </c>
      <c r="K64" s="7" t="str">
        <f>CONCATENATE("")</f>
        <v/>
      </c>
      <c r="L64" s="7" t="str">
        <f>CONCATENATE("13 13.1 4a")</f>
        <v>13 13.1 4a</v>
      </c>
      <c r="M64" s="7" t="str">
        <f>CONCATENATE("MZZGLN63L21D628W")</f>
        <v>MZZGLN63L21D628W</v>
      </c>
      <c r="N64" s="7" t="s">
        <v>136</v>
      </c>
      <c r="O64" s="7" t="s">
        <v>135</v>
      </c>
      <c r="P64" s="8">
        <v>44739</v>
      </c>
      <c r="Q64" s="7" t="s">
        <v>31</v>
      </c>
      <c r="R64" s="7" t="s">
        <v>32</v>
      </c>
      <c r="S64" s="7" t="s">
        <v>33</v>
      </c>
      <c r="T64" s="7"/>
      <c r="U64" s="7" t="s">
        <v>34</v>
      </c>
      <c r="V64" s="9">
        <v>1935.1</v>
      </c>
      <c r="W64" s="7">
        <v>834.42</v>
      </c>
      <c r="X64" s="7">
        <v>770.56</v>
      </c>
      <c r="Y64" s="7">
        <v>0</v>
      </c>
      <c r="Z64" s="7">
        <v>330.12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23178</vt:lpwstr>
  </property>
  <property fmtid="{D5CDD505-2E9C-101B-9397-08002B2CF9AE}" pid="4" name="OptimizationTime">
    <vt:lpwstr>20220628_1554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2022-06-28T13:03:49Z</dcterms:created>
  <dcterms:modified xsi:type="dcterms:W3CDTF">2022-06-28T13:05:38Z</dcterms:modified>
</cp:coreProperties>
</file>