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45/"/>
    </mc:Choice>
  </mc:AlternateContent>
  <xr:revisionPtr revIDLastSave="0" documentId="8_{74335EE5-792C-4D62-834E-1EA3520215CE}" xr6:coauthVersionLast="46" xr6:coauthVersionMax="46" xr10:uidLastSave="{00000000-0000-0000-0000-000000000000}"/>
  <bookViews>
    <workbookView xWindow="-110" yWindow="-110" windowWidth="19420" windowHeight="10420" xr2:uid="{8ECBA7A5-0C07-48A1-97F9-E7EE88E03F2C}"/>
  </bookViews>
  <sheets>
    <sheet name="Dettaglio_Domande_Pagabili_AGEA" sheetId="1" r:id="rId1"/>
  </sheets>
  <definedNames>
    <definedName name="_xlnm._FilterDatabase" localSheetId="0" hidden="1">Dettaglio_Domande_Pagabili_AGEA!$A$3:$Z$96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6" i="1" l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<sst xmlns="http://schemas.openxmlformats.org/spreadsheetml/2006/main" count="1329" uniqueCount="166">
  <si>
    <t>Dettaglio Domande Pagabili Decreto 545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</si>
  <si>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</si>
  <si>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</si>
  <si>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</si>
  <si>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</si>
  <si>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</si>
  <si>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</si>
  <si>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</si>
  <si>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</si>
  <si>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</si>
  <si>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</si>
  <si>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</si>
  <si>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</si>
  <si>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</si>
  <si>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</si>
  <si>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</si>
  <si>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</si>
  <si>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</si>
  <si>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</si>
  <si>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</si>
  <si>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</si>
  <si>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</si>
  <si>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</si>
  <si>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</si>
  <si>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</si>
  <si>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</si>
  <si>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</si>
  <si>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</si>
  <si>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</si>
  <si>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LiberiAgricoltori srl già CAA AGCI srl</t>
  </si>
  <si>
    <t>NO</t>
  </si>
  <si>
    <t>Nuova Programmazione</t>
  </si>
  <si>
    <t>In Liquidazione</t>
  </si>
  <si>
    <t>Saldo</t>
  </si>
  <si>
    <t>Co-Finanziato</t>
  </si>
  <si>
    <t>Ordinario</t>
  </si>
  <si>
    <t>Misure a Superficie</t>
  </si>
  <si>
    <t>CAA Confagricoltura srl</t>
  </si>
  <si>
    <t>CAA Coldiretti srl</t>
  </si>
  <si>
    <t>CAA CIA srl</t>
  </si>
  <si>
    <t>SI</t>
  </si>
  <si>
    <t>CAA UNICAA srl</t>
  </si>
  <si>
    <t>CAA-CAF AGRI S.R.L.</t>
  </si>
  <si>
    <t>IN PROPRIO</t>
  </si>
  <si>
    <t>CAA AGRISERVIZI s.r.l.</t>
  </si>
  <si>
    <t>SAL</t>
  </si>
  <si>
    <t>CAA Liberi Professionisti srl</t>
  </si>
  <si>
    <t>MARCHE</t>
  </si>
  <si>
    <t>SERV. DEC. AGRICOLTURA E ALIM. - MACERATA</t>
  </si>
  <si>
    <t>SCOLASTICI ROBERTO</t>
  </si>
  <si>
    <t>AGEA.ASR.2022.0565168</t>
  </si>
  <si>
    <t>SERV. DEC. AGRICOLTURA E ALIMENTAZIONE - PESARO</t>
  </si>
  <si>
    <t>CAA CIA - PESARO E URBINO - 007</t>
  </si>
  <si>
    <t>TRIONFETTI DANIELE</t>
  </si>
  <si>
    <t>CAA CIA - PESARO E URBINO - 001</t>
  </si>
  <si>
    <t>BAILETTI EDI</t>
  </si>
  <si>
    <t>SCOLASTICI MARCO</t>
  </si>
  <si>
    <t>CAA Coldiretti - MACERATA - 017</t>
  </si>
  <si>
    <t>SBARDELLATI LAMBERTO</t>
  </si>
  <si>
    <t>CAA LiberiAgricoltori - MACERATA - 002</t>
  </si>
  <si>
    <t>MAGGI NAZZARENO</t>
  </si>
  <si>
    <t>SOCIETA' AGRICOLA GIROLAMI STEFANIA E SONIA S.S.</t>
  </si>
  <si>
    <t>SERV. DEC. AGRICOLTURA E ALIMENTAZIONE - ANCONA</t>
  </si>
  <si>
    <t>CAA CIA - ANCONA - 002</t>
  </si>
  <si>
    <t>MORETTI SIMONETTA</t>
  </si>
  <si>
    <t>CAA CAF AGRI - MACERATA - 224</t>
  </si>
  <si>
    <t>SABBATINI MATTEO</t>
  </si>
  <si>
    <t>CAPITANI GIORGIO</t>
  </si>
  <si>
    <t>PISELLI ELISA</t>
  </si>
  <si>
    <t>SEPI EMANUELE</t>
  </si>
  <si>
    <t>SABBATINI LUCIA</t>
  </si>
  <si>
    <t>VANGELISTA LUCA</t>
  </si>
  <si>
    <t>AGEA.ASR.2022.0583920</t>
  </si>
  <si>
    <t>AGEA.ASR.2022.0565169</t>
  </si>
  <si>
    <t>CAA Confagricoltura - MACERATA - 001</t>
  </si>
  <si>
    <t>BACCANARI LUCA</t>
  </si>
  <si>
    <t>RICCI ANNA LUISA</t>
  </si>
  <si>
    <t>ANGELI GIOVANNI</t>
  </si>
  <si>
    <t>FALCONE REALE SOCIETA' AGRICOLA S.R.L.</t>
  </si>
  <si>
    <t>CAA CIA - PESARO E URBINO - 006</t>
  </si>
  <si>
    <t>B2P SOCIETA' SEMPLICE AGRICOLA</t>
  </si>
  <si>
    <t>CAA Coldiretti - MACERATA - 007</t>
  </si>
  <si>
    <t>SANTANCINI ALBERTO</t>
  </si>
  <si>
    <t>ANGELUCCI ROBERTO</t>
  </si>
  <si>
    <t>CAA LiberiAgricoltori - MACERATA - 003</t>
  </si>
  <si>
    <t>ALESSANDRI DOMENICO</t>
  </si>
  <si>
    <t>CAA Coldiretti - PESARO E URBINO - 013</t>
  </si>
  <si>
    <t>GIORGI MARCELLO</t>
  </si>
  <si>
    <t>PONTANI SANTE DAMIANO</t>
  </si>
  <si>
    <t>CAA CIA - ANCONA - 005</t>
  </si>
  <si>
    <t>STROPPA SILVANA</t>
  </si>
  <si>
    <t>CAA Coldiretti - ANCONA - 008</t>
  </si>
  <si>
    <t>POLENTA RAFFAELA</t>
  </si>
  <si>
    <t>VERGINETO SOCIETA' AGRICOLA SEMPLICE</t>
  </si>
  <si>
    <t>SERV. DEC. AGRICOLTURA E ALIM. -ASCOLI PICENO</t>
  </si>
  <si>
    <t>CAA UNICAA - ASCOLI PICENO - 004</t>
  </si>
  <si>
    <t>FIORAVANTI VALENTINO</t>
  </si>
  <si>
    <t>NERI ROBERTO</t>
  </si>
  <si>
    <t>CAA Liberi Prof.- PESARO E URBINO - 001</t>
  </si>
  <si>
    <t>SOCIETA' AGRICOLA VERDOLIO SS DI ALFEI FRANCESCO E C</t>
  </si>
  <si>
    <t>GIANCARLO COPPOLA - CIAO NONNO S.R.L.</t>
  </si>
  <si>
    <t>SOCIETA' AGRICOLA IL RAGGIO DI SOLE DI ORPELLO S.S.</t>
  </si>
  <si>
    <t>CAA UNICAA - PESARO E URBINO - 003</t>
  </si>
  <si>
    <t>FIORELLI DIEGO</t>
  </si>
  <si>
    <t>PIZZARULLI LUCIANO</t>
  </si>
  <si>
    <t>CAA LiberiAgricoltori - MACERATA - 001</t>
  </si>
  <si>
    <t>MASSI GENTILONI SILVERI EMANUELE</t>
  </si>
  <si>
    <t>CAA CAF AGRI - ASCOLI PICENO - 223</t>
  </si>
  <si>
    <t>CANALI MAURO</t>
  </si>
  <si>
    <t>AGEA.ASR.2022.0581519</t>
  </si>
  <si>
    <t>CAA Confagricoltura - ANCONA - 001</t>
  </si>
  <si>
    <t>AZIENDA AGRICOLA LANFRANCO COLONNELLI DI MARCO MONTI E FRANCESCA COLON</t>
  </si>
  <si>
    <t>CAA CAF AGRI - PESARO E URBINO - 221</t>
  </si>
  <si>
    <t>JANSTA SVATOPLUK</t>
  </si>
  <si>
    <t>SOCIETA' AGRICOLA INCANTO DI TISI CINZIA E C. S.S.</t>
  </si>
  <si>
    <t>BARTOCCI GUIDO</t>
  </si>
  <si>
    <t>CAA Coldiretti - MACERATA - 009</t>
  </si>
  <si>
    <t>SOCIETA' AGRICOLA VAGNI ADOLFO E C. S.S.</t>
  </si>
  <si>
    <t>CAA Coldiretti - PESARO E URBINO - 006</t>
  </si>
  <si>
    <t>CAVALLINI FIORENZA</t>
  </si>
  <si>
    <t>CAA LiberiAgricoltori - MACERATA - 004</t>
  </si>
  <si>
    <t>RINOMATA AZIENDA BIOLOGICA IMPRENDITORI LIBERTI SIMONEE GIANPIETRO SOC</t>
  </si>
  <si>
    <t>PETTINARI ANNA MARIA</t>
  </si>
  <si>
    <t>COPPACCHIOLI GINEVRA</t>
  </si>
  <si>
    <t>MAURIZI LUIGINO</t>
  </si>
  <si>
    <t>CAA Coldiretti - ANCONA - 003</t>
  </si>
  <si>
    <t>OSOIWANLAN JEFFERY EROMOSELE</t>
  </si>
  <si>
    <t>CAA AGRISERVIZI - LATINA - 001</t>
  </si>
  <si>
    <t>GALANTI ALESSANDRO</t>
  </si>
  <si>
    <t>CAA Confagricoltura - PESARO E URBINO - 001</t>
  </si>
  <si>
    <t>AZIENDA AGRICOLA MOCHI - S.S. SOCIETA' AGRICOLA</t>
  </si>
  <si>
    <t>ALBERTO QUACQUARINI - SOCIETA' AGRICOLA SEMPLICE</t>
  </si>
  <si>
    <t>SOCIETA' AGRICOLA VILLANOVA S.S.</t>
  </si>
  <si>
    <t>TORRESI MARTINA</t>
  </si>
  <si>
    <t>SOCIETA' AGRICOLA IL CASONE DI INNOCENZI ROBERTA &amp; C. S.S.</t>
  </si>
  <si>
    <t>CAA CIA - ANCONA - 004</t>
  </si>
  <si>
    <t>ROSORANI NADIA</t>
  </si>
  <si>
    <t>CAA LiberiAgricoltori - MACERATA - 005</t>
  </si>
  <si>
    <t>MISICI ALESSANDRO</t>
  </si>
  <si>
    <t>MARCONI MICHELE</t>
  </si>
  <si>
    <t>SECCHIAROLI MARIA TERESA</t>
  </si>
  <si>
    <t>BIAGETTI LORENA</t>
  </si>
  <si>
    <t>EREDI CONTIGIANI PIERDOMENICO DI CONTIGIANI MARCO, ELISA E PACIONI LIA</t>
  </si>
  <si>
    <t>LUCARELLI LUIGI</t>
  </si>
  <si>
    <t>CAA Coldiretti - ASCOLI PICENO - 040</t>
  </si>
  <si>
    <t>CONCETTI GIULIANA</t>
  </si>
  <si>
    <t>SOCIETA' AGRICOLA TENUTA COLLI DI MATELICA DI CORRENTI MICHELE SOCIETA</t>
  </si>
  <si>
    <t>CAA Coldiretti - ASCOLI PICENO - 030</t>
  </si>
  <si>
    <t>SI BIO DI PREMICI SILVIA E ALEANDRI VINCENZO SOCIETA' SEMPLICE AGRICOL</t>
  </si>
  <si>
    <t>CAA CIA - PESARO E URBINO - 003</t>
  </si>
  <si>
    <t>BRUNETTI MARCO</t>
  </si>
  <si>
    <t>CAA Coldiretti - MACERATA - 018</t>
  </si>
  <si>
    <t>ORAZI WALTER</t>
  </si>
  <si>
    <t>D'ANDREA ELISEO E CIOTTI ANTONIETTA SOC. SEMPLICE</t>
  </si>
  <si>
    <t>AURELI MORENO</t>
  </si>
  <si>
    <t>MOCCI MARCO</t>
  </si>
  <si>
    <t>SOCIETA' AGRICOLA TERRADIMUCCIA SOCIETA'A RESPONSABILITA' LIMITATA SEM</t>
  </si>
  <si>
    <t>RINOZZI AURELIO</t>
  </si>
  <si>
    <t>CAA LiberiAgricoltori - RIMINI - 001</t>
  </si>
  <si>
    <t>BROCCOLI MARIO</t>
  </si>
  <si>
    <t>BRUSCHI ADOLFO</t>
  </si>
  <si>
    <t>AGEA.ASR.2022.0425086</t>
  </si>
  <si>
    <t>IMPRESA VERDE MARCHE S.R.L.</t>
  </si>
  <si>
    <t>AGEA.ASR.2022.0576475</t>
  </si>
  <si>
    <t>BARBADORO DAVIDE</t>
  </si>
  <si>
    <t>AGEA.ASR.2022.0581339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</si>
</sst>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BFDC-8FE0-44F3-A3DC-3D424B4184E5}">
  <dimension ref="A1:Z96"/>
  <sheetViews>
    <sheetView showGridLines="0" tabSelected="1" workbookViewId="0">
      <selection activeCell="F102" sqref="F10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0.36328125" bestFit="1" customWidth="1"/>
    <col min="6" max="6" width="22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11.54296875" bestFit="1" customWidth="1"/>
    <col min="260" max="260" width="29.36328125" bestFit="1" customWidth="1"/>
    <col min="261" max="261" width="20.36328125" bestFit="1" customWidth="1"/>
    <col min="262" max="262" width="22.54296875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5" customWidth="1"/>
    <col min="270" max="270" width="34.90625" bestFit="1" customWidth="1"/>
    <col min="271" max="271" width="11.816406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11.54296875" bestFit="1" customWidth="1"/>
    <col min="516" max="516" width="29.36328125" bestFit="1" customWidth="1"/>
    <col min="517" max="517" width="20.36328125" bestFit="1" customWidth="1"/>
    <col min="518" max="518" width="22.54296875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5" customWidth="1"/>
    <col min="526" max="526" width="34.90625" bestFit="1" customWidth="1"/>
    <col min="527" max="527" width="11.816406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11.54296875" bestFit="1" customWidth="1"/>
    <col min="772" max="772" width="29.36328125" bestFit="1" customWidth="1"/>
    <col min="773" max="773" width="20.36328125" bestFit="1" customWidth="1"/>
    <col min="774" max="774" width="22.54296875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5" customWidth="1"/>
    <col min="782" max="782" width="34.90625" bestFit="1" customWidth="1"/>
    <col min="783" max="783" width="11.816406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11.54296875" bestFit="1" customWidth="1"/>
    <col min="1028" max="1028" width="29.36328125" bestFit="1" customWidth="1"/>
    <col min="1029" max="1029" width="20.36328125" bestFit="1" customWidth="1"/>
    <col min="1030" max="1030" width="22.54296875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5" customWidth="1"/>
    <col min="1038" max="1038" width="34.90625" bestFit="1" customWidth="1"/>
    <col min="1039" max="1039" width="11.816406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11.54296875" bestFit="1" customWidth="1"/>
    <col min="1284" max="1284" width="29.36328125" bestFit="1" customWidth="1"/>
    <col min="1285" max="1285" width="20.36328125" bestFit="1" customWidth="1"/>
    <col min="1286" max="1286" width="22.54296875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5" customWidth="1"/>
    <col min="1294" max="1294" width="34.90625" bestFit="1" customWidth="1"/>
    <col min="1295" max="1295" width="11.816406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11.54296875" bestFit="1" customWidth="1"/>
    <col min="1540" max="1540" width="29.36328125" bestFit="1" customWidth="1"/>
    <col min="1541" max="1541" width="20.36328125" bestFit="1" customWidth="1"/>
    <col min="1542" max="1542" width="22.54296875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5" customWidth="1"/>
    <col min="1550" max="1550" width="34.90625" bestFit="1" customWidth="1"/>
    <col min="1551" max="1551" width="11.816406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11.54296875" bestFit="1" customWidth="1"/>
    <col min="1796" max="1796" width="29.36328125" bestFit="1" customWidth="1"/>
    <col min="1797" max="1797" width="20.36328125" bestFit="1" customWidth="1"/>
    <col min="1798" max="1798" width="22.54296875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5" customWidth="1"/>
    <col min="1806" max="1806" width="34.90625" bestFit="1" customWidth="1"/>
    <col min="1807" max="1807" width="11.816406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11.54296875" bestFit="1" customWidth="1"/>
    <col min="2052" max="2052" width="29.36328125" bestFit="1" customWidth="1"/>
    <col min="2053" max="2053" width="20.36328125" bestFit="1" customWidth="1"/>
    <col min="2054" max="2054" width="22.54296875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5" customWidth="1"/>
    <col min="2062" max="2062" width="34.90625" bestFit="1" customWidth="1"/>
    <col min="2063" max="2063" width="11.816406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11.54296875" bestFit="1" customWidth="1"/>
    <col min="2308" max="2308" width="29.36328125" bestFit="1" customWidth="1"/>
    <col min="2309" max="2309" width="20.36328125" bestFit="1" customWidth="1"/>
    <col min="2310" max="2310" width="22.54296875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5" customWidth="1"/>
    <col min="2318" max="2318" width="34.90625" bestFit="1" customWidth="1"/>
    <col min="2319" max="2319" width="11.816406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11.54296875" bestFit="1" customWidth="1"/>
    <col min="2564" max="2564" width="29.36328125" bestFit="1" customWidth="1"/>
    <col min="2565" max="2565" width="20.36328125" bestFit="1" customWidth="1"/>
    <col min="2566" max="2566" width="22.54296875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5" customWidth="1"/>
    <col min="2574" max="2574" width="34.90625" bestFit="1" customWidth="1"/>
    <col min="2575" max="2575" width="11.816406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11.54296875" bestFit="1" customWidth="1"/>
    <col min="2820" max="2820" width="29.36328125" bestFit="1" customWidth="1"/>
    <col min="2821" max="2821" width="20.36328125" bestFit="1" customWidth="1"/>
    <col min="2822" max="2822" width="22.54296875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5" customWidth="1"/>
    <col min="2830" max="2830" width="34.90625" bestFit="1" customWidth="1"/>
    <col min="2831" max="2831" width="11.816406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11.54296875" bestFit="1" customWidth="1"/>
    <col min="3076" max="3076" width="29.36328125" bestFit="1" customWidth="1"/>
    <col min="3077" max="3077" width="20.36328125" bestFit="1" customWidth="1"/>
    <col min="3078" max="3078" width="22.54296875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5" customWidth="1"/>
    <col min="3086" max="3086" width="34.90625" bestFit="1" customWidth="1"/>
    <col min="3087" max="3087" width="11.816406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11.54296875" bestFit="1" customWidth="1"/>
    <col min="3332" max="3332" width="29.36328125" bestFit="1" customWidth="1"/>
    <col min="3333" max="3333" width="20.36328125" bestFit="1" customWidth="1"/>
    <col min="3334" max="3334" width="22.54296875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5" customWidth="1"/>
    <col min="3342" max="3342" width="34.90625" bestFit="1" customWidth="1"/>
    <col min="3343" max="3343" width="11.816406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11.54296875" bestFit="1" customWidth="1"/>
    <col min="3588" max="3588" width="29.36328125" bestFit="1" customWidth="1"/>
    <col min="3589" max="3589" width="20.36328125" bestFit="1" customWidth="1"/>
    <col min="3590" max="3590" width="22.54296875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5" customWidth="1"/>
    <col min="3598" max="3598" width="34.90625" bestFit="1" customWidth="1"/>
    <col min="3599" max="3599" width="11.816406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11.54296875" bestFit="1" customWidth="1"/>
    <col min="3844" max="3844" width="29.36328125" bestFit="1" customWidth="1"/>
    <col min="3845" max="3845" width="20.36328125" bestFit="1" customWidth="1"/>
    <col min="3846" max="3846" width="22.54296875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5" customWidth="1"/>
    <col min="3854" max="3854" width="34.90625" bestFit="1" customWidth="1"/>
    <col min="3855" max="3855" width="11.816406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11.54296875" bestFit="1" customWidth="1"/>
    <col min="4100" max="4100" width="29.36328125" bestFit="1" customWidth="1"/>
    <col min="4101" max="4101" width="20.36328125" bestFit="1" customWidth="1"/>
    <col min="4102" max="4102" width="22.54296875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5" customWidth="1"/>
    <col min="4110" max="4110" width="34.90625" bestFit="1" customWidth="1"/>
    <col min="4111" max="4111" width="11.816406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11.54296875" bestFit="1" customWidth="1"/>
    <col min="4356" max="4356" width="29.36328125" bestFit="1" customWidth="1"/>
    <col min="4357" max="4357" width="20.36328125" bestFit="1" customWidth="1"/>
    <col min="4358" max="4358" width="22.54296875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5" customWidth="1"/>
    <col min="4366" max="4366" width="34.90625" bestFit="1" customWidth="1"/>
    <col min="4367" max="4367" width="11.816406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11.54296875" bestFit="1" customWidth="1"/>
    <col min="4612" max="4612" width="29.36328125" bestFit="1" customWidth="1"/>
    <col min="4613" max="4613" width="20.36328125" bestFit="1" customWidth="1"/>
    <col min="4614" max="4614" width="22.54296875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5" customWidth="1"/>
    <col min="4622" max="4622" width="34.90625" bestFit="1" customWidth="1"/>
    <col min="4623" max="4623" width="11.816406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11.54296875" bestFit="1" customWidth="1"/>
    <col min="4868" max="4868" width="29.36328125" bestFit="1" customWidth="1"/>
    <col min="4869" max="4869" width="20.36328125" bestFit="1" customWidth="1"/>
    <col min="4870" max="4870" width="22.54296875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5" customWidth="1"/>
    <col min="4878" max="4878" width="34.90625" bestFit="1" customWidth="1"/>
    <col min="4879" max="4879" width="11.816406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11.54296875" bestFit="1" customWidth="1"/>
    <col min="5124" max="5124" width="29.36328125" bestFit="1" customWidth="1"/>
    <col min="5125" max="5125" width="20.36328125" bestFit="1" customWidth="1"/>
    <col min="5126" max="5126" width="22.54296875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5" customWidth="1"/>
    <col min="5134" max="5134" width="34.90625" bestFit="1" customWidth="1"/>
    <col min="5135" max="5135" width="11.816406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11.54296875" bestFit="1" customWidth="1"/>
    <col min="5380" max="5380" width="29.36328125" bestFit="1" customWidth="1"/>
    <col min="5381" max="5381" width="20.36328125" bestFit="1" customWidth="1"/>
    <col min="5382" max="5382" width="22.54296875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5" customWidth="1"/>
    <col min="5390" max="5390" width="34.90625" bestFit="1" customWidth="1"/>
    <col min="5391" max="5391" width="11.816406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11.54296875" bestFit="1" customWidth="1"/>
    <col min="5636" max="5636" width="29.36328125" bestFit="1" customWidth="1"/>
    <col min="5637" max="5637" width="20.36328125" bestFit="1" customWidth="1"/>
    <col min="5638" max="5638" width="22.54296875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5" customWidth="1"/>
    <col min="5646" max="5646" width="34.90625" bestFit="1" customWidth="1"/>
    <col min="5647" max="5647" width="11.816406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11.54296875" bestFit="1" customWidth="1"/>
    <col min="5892" max="5892" width="29.36328125" bestFit="1" customWidth="1"/>
    <col min="5893" max="5893" width="20.36328125" bestFit="1" customWidth="1"/>
    <col min="5894" max="5894" width="22.54296875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5" customWidth="1"/>
    <col min="5902" max="5902" width="34.90625" bestFit="1" customWidth="1"/>
    <col min="5903" max="5903" width="11.816406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11.54296875" bestFit="1" customWidth="1"/>
    <col min="6148" max="6148" width="29.36328125" bestFit="1" customWidth="1"/>
    <col min="6149" max="6149" width="20.36328125" bestFit="1" customWidth="1"/>
    <col min="6150" max="6150" width="22.54296875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5" customWidth="1"/>
    <col min="6158" max="6158" width="34.90625" bestFit="1" customWidth="1"/>
    <col min="6159" max="6159" width="11.816406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11.54296875" bestFit="1" customWidth="1"/>
    <col min="6404" max="6404" width="29.36328125" bestFit="1" customWidth="1"/>
    <col min="6405" max="6405" width="20.36328125" bestFit="1" customWidth="1"/>
    <col min="6406" max="6406" width="22.54296875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5" customWidth="1"/>
    <col min="6414" max="6414" width="34.90625" bestFit="1" customWidth="1"/>
    <col min="6415" max="6415" width="11.816406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11.54296875" bestFit="1" customWidth="1"/>
    <col min="6660" max="6660" width="29.36328125" bestFit="1" customWidth="1"/>
    <col min="6661" max="6661" width="20.36328125" bestFit="1" customWidth="1"/>
    <col min="6662" max="6662" width="22.54296875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5" customWidth="1"/>
    <col min="6670" max="6670" width="34.90625" bestFit="1" customWidth="1"/>
    <col min="6671" max="6671" width="11.816406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11.54296875" bestFit="1" customWidth="1"/>
    <col min="6916" max="6916" width="29.36328125" bestFit="1" customWidth="1"/>
    <col min="6917" max="6917" width="20.36328125" bestFit="1" customWidth="1"/>
    <col min="6918" max="6918" width="22.54296875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5" customWidth="1"/>
    <col min="6926" max="6926" width="34.90625" bestFit="1" customWidth="1"/>
    <col min="6927" max="6927" width="11.816406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11.54296875" bestFit="1" customWidth="1"/>
    <col min="7172" max="7172" width="29.36328125" bestFit="1" customWidth="1"/>
    <col min="7173" max="7173" width="20.36328125" bestFit="1" customWidth="1"/>
    <col min="7174" max="7174" width="22.54296875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5" customWidth="1"/>
    <col min="7182" max="7182" width="34.90625" bestFit="1" customWidth="1"/>
    <col min="7183" max="7183" width="11.816406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11.54296875" bestFit="1" customWidth="1"/>
    <col min="7428" max="7428" width="29.36328125" bestFit="1" customWidth="1"/>
    <col min="7429" max="7429" width="20.36328125" bestFit="1" customWidth="1"/>
    <col min="7430" max="7430" width="22.54296875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5" customWidth="1"/>
    <col min="7438" max="7438" width="34.90625" bestFit="1" customWidth="1"/>
    <col min="7439" max="7439" width="11.816406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11.54296875" bestFit="1" customWidth="1"/>
    <col min="7684" max="7684" width="29.36328125" bestFit="1" customWidth="1"/>
    <col min="7685" max="7685" width="20.36328125" bestFit="1" customWidth="1"/>
    <col min="7686" max="7686" width="22.54296875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5" customWidth="1"/>
    <col min="7694" max="7694" width="34.90625" bestFit="1" customWidth="1"/>
    <col min="7695" max="7695" width="11.816406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11.54296875" bestFit="1" customWidth="1"/>
    <col min="7940" max="7940" width="29.36328125" bestFit="1" customWidth="1"/>
    <col min="7941" max="7941" width="20.36328125" bestFit="1" customWidth="1"/>
    <col min="7942" max="7942" width="22.54296875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5" customWidth="1"/>
    <col min="7950" max="7950" width="34.90625" bestFit="1" customWidth="1"/>
    <col min="7951" max="7951" width="11.816406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11.54296875" bestFit="1" customWidth="1"/>
    <col min="8196" max="8196" width="29.36328125" bestFit="1" customWidth="1"/>
    <col min="8197" max="8197" width="20.36328125" bestFit="1" customWidth="1"/>
    <col min="8198" max="8198" width="22.54296875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5" customWidth="1"/>
    <col min="8206" max="8206" width="34.90625" bestFit="1" customWidth="1"/>
    <col min="8207" max="8207" width="11.816406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11.54296875" bestFit="1" customWidth="1"/>
    <col min="8452" max="8452" width="29.36328125" bestFit="1" customWidth="1"/>
    <col min="8453" max="8453" width="20.36328125" bestFit="1" customWidth="1"/>
    <col min="8454" max="8454" width="22.54296875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5" customWidth="1"/>
    <col min="8462" max="8462" width="34.90625" bestFit="1" customWidth="1"/>
    <col min="8463" max="8463" width="11.816406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11.54296875" bestFit="1" customWidth="1"/>
    <col min="8708" max="8708" width="29.36328125" bestFit="1" customWidth="1"/>
    <col min="8709" max="8709" width="20.36328125" bestFit="1" customWidth="1"/>
    <col min="8710" max="8710" width="22.54296875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5" customWidth="1"/>
    <col min="8718" max="8718" width="34.90625" bestFit="1" customWidth="1"/>
    <col min="8719" max="8719" width="11.816406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11.54296875" bestFit="1" customWidth="1"/>
    <col min="8964" max="8964" width="29.36328125" bestFit="1" customWidth="1"/>
    <col min="8965" max="8965" width="20.36328125" bestFit="1" customWidth="1"/>
    <col min="8966" max="8966" width="22.54296875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5" customWidth="1"/>
    <col min="8974" max="8974" width="34.90625" bestFit="1" customWidth="1"/>
    <col min="8975" max="8975" width="11.816406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11.54296875" bestFit="1" customWidth="1"/>
    <col min="9220" max="9220" width="29.36328125" bestFit="1" customWidth="1"/>
    <col min="9221" max="9221" width="20.36328125" bestFit="1" customWidth="1"/>
    <col min="9222" max="9222" width="22.54296875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5" customWidth="1"/>
    <col min="9230" max="9230" width="34.90625" bestFit="1" customWidth="1"/>
    <col min="9231" max="9231" width="11.816406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11.54296875" bestFit="1" customWidth="1"/>
    <col min="9476" max="9476" width="29.36328125" bestFit="1" customWidth="1"/>
    <col min="9477" max="9477" width="20.36328125" bestFit="1" customWidth="1"/>
    <col min="9478" max="9478" width="22.54296875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5" customWidth="1"/>
    <col min="9486" max="9486" width="34.90625" bestFit="1" customWidth="1"/>
    <col min="9487" max="9487" width="11.816406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11.54296875" bestFit="1" customWidth="1"/>
    <col min="9732" max="9732" width="29.36328125" bestFit="1" customWidth="1"/>
    <col min="9733" max="9733" width="20.36328125" bestFit="1" customWidth="1"/>
    <col min="9734" max="9734" width="22.54296875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5" customWidth="1"/>
    <col min="9742" max="9742" width="34.90625" bestFit="1" customWidth="1"/>
    <col min="9743" max="9743" width="11.816406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11.54296875" bestFit="1" customWidth="1"/>
    <col min="9988" max="9988" width="29.36328125" bestFit="1" customWidth="1"/>
    <col min="9989" max="9989" width="20.36328125" bestFit="1" customWidth="1"/>
    <col min="9990" max="9990" width="22.54296875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5" customWidth="1"/>
    <col min="9998" max="9998" width="34.90625" bestFit="1" customWidth="1"/>
    <col min="9999" max="9999" width="11.816406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11.54296875" bestFit="1" customWidth="1"/>
    <col min="10244" max="10244" width="29.36328125" bestFit="1" customWidth="1"/>
    <col min="10245" max="10245" width="20.36328125" bestFit="1" customWidth="1"/>
    <col min="10246" max="10246" width="22.54296875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5" customWidth="1"/>
    <col min="10254" max="10254" width="34.90625" bestFit="1" customWidth="1"/>
    <col min="10255" max="10255" width="11.816406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11.54296875" bestFit="1" customWidth="1"/>
    <col min="10500" max="10500" width="29.36328125" bestFit="1" customWidth="1"/>
    <col min="10501" max="10501" width="20.36328125" bestFit="1" customWidth="1"/>
    <col min="10502" max="10502" width="22.54296875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5" customWidth="1"/>
    <col min="10510" max="10510" width="34.90625" bestFit="1" customWidth="1"/>
    <col min="10511" max="10511" width="11.816406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11.54296875" bestFit="1" customWidth="1"/>
    <col min="10756" max="10756" width="29.36328125" bestFit="1" customWidth="1"/>
    <col min="10757" max="10757" width="20.36328125" bestFit="1" customWidth="1"/>
    <col min="10758" max="10758" width="22.54296875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5" customWidth="1"/>
    <col min="10766" max="10766" width="34.90625" bestFit="1" customWidth="1"/>
    <col min="10767" max="10767" width="11.816406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11.54296875" bestFit="1" customWidth="1"/>
    <col min="11012" max="11012" width="29.36328125" bestFit="1" customWidth="1"/>
    <col min="11013" max="11013" width="20.36328125" bestFit="1" customWidth="1"/>
    <col min="11014" max="11014" width="22.54296875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5" customWidth="1"/>
    <col min="11022" max="11022" width="34.90625" bestFit="1" customWidth="1"/>
    <col min="11023" max="11023" width="11.816406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11.54296875" bestFit="1" customWidth="1"/>
    <col min="11268" max="11268" width="29.36328125" bestFit="1" customWidth="1"/>
    <col min="11269" max="11269" width="20.36328125" bestFit="1" customWidth="1"/>
    <col min="11270" max="11270" width="22.54296875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5" customWidth="1"/>
    <col min="11278" max="11278" width="34.90625" bestFit="1" customWidth="1"/>
    <col min="11279" max="11279" width="11.816406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11.54296875" bestFit="1" customWidth="1"/>
    <col min="11524" max="11524" width="29.36328125" bestFit="1" customWidth="1"/>
    <col min="11525" max="11525" width="20.36328125" bestFit="1" customWidth="1"/>
    <col min="11526" max="11526" width="22.54296875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5" customWidth="1"/>
    <col min="11534" max="11534" width="34.90625" bestFit="1" customWidth="1"/>
    <col min="11535" max="11535" width="11.816406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11.54296875" bestFit="1" customWidth="1"/>
    <col min="11780" max="11780" width="29.36328125" bestFit="1" customWidth="1"/>
    <col min="11781" max="11781" width="20.36328125" bestFit="1" customWidth="1"/>
    <col min="11782" max="11782" width="22.54296875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5" customWidth="1"/>
    <col min="11790" max="11790" width="34.90625" bestFit="1" customWidth="1"/>
    <col min="11791" max="11791" width="11.816406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11.54296875" bestFit="1" customWidth="1"/>
    <col min="12036" max="12036" width="29.36328125" bestFit="1" customWidth="1"/>
    <col min="12037" max="12037" width="20.36328125" bestFit="1" customWidth="1"/>
    <col min="12038" max="12038" width="22.54296875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5" customWidth="1"/>
    <col min="12046" max="12046" width="34.90625" bestFit="1" customWidth="1"/>
    <col min="12047" max="12047" width="11.816406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11.54296875" bestFit="1" customWidth="1"/>
    <col min="12292" max="12292" width="29.36328125" bestFit="1" customWidth="1"/>
    <col min="12293" max="12293" width="20.36328125" bestFit="1" customWidth="1"/>
    <col min="12294" max="12294" width="22.54296875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5" customWidth="1"/>
    <col min="12302" max="12302" width="34.90625" bestFit="1" customWidth="1"/>
    <col min="12303" max="12303" width="11.816406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11.54296875" bestFit="1" customWidth="1"/>
    <col min="12548" max="12548" width="29.36328125" bestFit="1" customWidth="1"/>
    <col min="12549" max="12549" width="20.36328125" bestFit="1" customWidth="1"/>
    <col min="12550" max="12550" width="22.54296875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5" customWidth="1"/>
    <col min="12558" max="12558" width="34.90625" bestFit="1" customWidth="1"/>
    <col min="12559" max="12559" width="11.816406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11.54296875" bestFit="1" customWidth="1"/>
    <col min="12804" max="12804" width="29.36328125" bestFit="1" customWidth="1"/>
    <col min="12805" max="12805" width="20.36328125" bestFit="1" customWidth="1"/>
    <col min="12806" max="12806" width="22.54296875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5" customWidth="1"/>
    <col min="12814" max="12814" width="34.90625" bestFit="1" customWidth="1"/>
    <col min="12815" max="12815" width="11.816406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11.54296875" bestFit="1" customWidth="1"/>
    <col min="13060" max="13060" width="29.36328125" bestFit="1" customWidth="1"/>
    <col min="13061" max="13061" width="20.36328125" bestFit="1" customWidth="1"/>
    <col min="13062" max="13062" width="22.54296875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5" customWidth="1"/>
    <col min="13070" max="13070" width="34.90625" bestFit="1" customWidth="1"/>
    <col min="13071" max="13071" width="11.816406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11.54296875" bestFit="1" customWidth="1"/>
    <col min="13316" max="13316" width="29.36328125" bestFit="1" customWidth="1"/>
    <col min="13317" max="13317" width="20.36328125" bestFit="1" customWidth="1"/>
    <col min="13318" max="13318" width="22.54296875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5" customWidth="1"/>
    <col min="13326" max="13326" width="34.90625" bestFit="1" customWidth="1"/>
    <col min="13327" max="13327" width="11.816406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11.54296875" bestFit="1" customWidth="1"/>
    <col min="13572" max="13572" width="29.36328125" bestFit="1" customWidth="1"/>
    <col min="13573" max="13573" width="20.36328125" bestFit="1" customWidth="1"/>
    <col min="13574" max="13574" width="22.54296875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5" customWidth="1"/>
    <col min="13582" max="13582" width="34.90625" bestFit="1" customWidth="1"/>
    <col min="13583" max="13583" width="11.816406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11.54296875" bestFit="1" customWidth="1"/>
    <col min="13828" max="13828" width="29.36328125" bestFit="1" customWidth="1"/>
    <col min="13829" max="13829" width="20.36328125" bestFit="1" customWidth="1"/>
    <col min="13830" max="13830" width="22.54296875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5" customWidth="1"/>
    <col min="13838" max="13838" width="34.90625" bestFit="1" customWidth="1"/>
    <col min="13839" max="13839" width="11.816406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11.54296875" bestFit="1" customWidth="1"/>
    <col min="14084" max="14084" width="29.36328125" bestFit="1" customWidth="1"/>
    <col min="14085" max="14085" width="20.36328125" bestFit="1" customWidth="1"/>
    <col min="14086" max="14086" width="22.54296875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5" customWidth="1"/>
    <col min="14094" max="14094" width="34.90625" bestFit="1" customWidth="1"/>
    <col min="14095" max="14095" width="11.816406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11.54296875" bestFit="1" customWidth="1"/>
    <col min="14340" max="14340" width="29.36328125" bestFit="1" customWidth="1"/>
    <col min="14341" max="14341" width="20.36328125" bestFit="1" customWidth="1"/>
    <col min="14342" max="14342" width="22.54296875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5" customWidth="1"/>
    <col min="14350" max="14350" width="34.90625" bestFit="1" customWidth="1"/>
    <col min="14351" max="14351" width="11.816406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11.54296875" bestFit="1" customWidth="1"/>
    <col min="14596" max="14596" width="29.36328125" bestFit="1" customWidth="1"/>
    <col min="14597" max="14597" width="20.36328125" bestFit="1" customWidth="1"/>
    <col min="14598" max="14598" width="22.54296875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5" customWidth="1"/>
    <col min="14606" max="14606" width="34.90625" bestFit="1" customWidth="1"/>
    <col min="14607" max="14607" width="11.816406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11.54296875" bestFit="1" customWidth="1"/>
    <col min="14852" max="14852" width="29.36328125" bestFit="1" customWidth="1"/>
    <col min="14853" max="14853" width="20.36328125" bestFit="1" customWidth="1"/>
    <col min="14854" max="14854" width="22.54296875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5" customWidth="1"/>
    <col min="14862" max="14862" width="34.90625" bestFit="1" customWidth="1"/>
    <col min="14863" max="14863" width="11.816406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11.54296875" bestFit="1" customWidth="1"/>
    <col min="15108" max="15108" width="29.36328125" bestFit="1" customWidth="1"/>
    <col min="15109" max="15109" width="20.36328125" bestFit="1" customWidth="1"/>
    <col min="15110" max="15110" width="22.54296875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5" customWidth="1"/>
    <col min="15118" max="15118" width="34.90625" bestFit="1" customWidth="1"/>
    <col min="15119" max="15119" width="11.816406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11.54296875" bestFit="1" customWidth="1"/>
    <col min="15364" max="15364" width="29.36328125" bestFit="1" customWidth="1"/>
    <col min="15365" max="15365" width="20.36328125" bestFit="1" customWidth="1"/>
    <col min="15366" max="15366" width="22.54296875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5" customWidth="1"/>
    <col min="15374" max="15374" width="34.90625" bestFit="1" customWidth="1"/>
    <col min="15375" max="15375" width="11.816406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11.54296875" bestFit="1" customWidth="1"/>
    <col min="15620" max="15620" width="29.36328125" bestFit="1" customWidth="1"/>
    <col min="15621" max="15621" width="20.36328125" bestFit="1" customWidth="1"/>
    <col min="15622" max="15622" width="22.54296875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5" customWidth="1"/>
    <col min="15630" max="15630" width="34.90625" bestFit="1" customWidth="1"/>
    <col min="15631" max="15631" width="11.816406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11.54296875" bestFit="1" customWidth="1"/>
    <col min="15876" max="15876" width="29.36328125" bestFit="1" customWidth="1"/>
    <col min="15877" max="15877" width="20.36328125" bestFit="1" customWidth="1"/>
    <col min="15878" max="15878" width="22.54296875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5" customWidth="1"/>
    <col min="15886" max="15886" width="34.90625" bestFit="1" customWidth="1"/>
    <col min="15887" max="15887" width="11.816406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11.54296875" bestFit="1" customWidth="1"/>
    <col min="16132" max="16132" width="29.36328125" bestFit="1" customWidth="1"/>
    <col min="16133" max="16133" width="20.36328125" bestFit="1" customWidth="1"/>
    <col min="16134" max="16134" width="22.54296875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5" customWidth="1"/>
    <col min="16142" max="16142" width="34.90625" bestFit="1" customWidth="1"/>
    <col min="16143" max="16143" width="11.816406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36</v>
      </c>
      <c r="C4" s="7" t="s">
        <v>47</v>
      </c>
      <c r="D4" s="7" t="s">
        <v>48</v>
      </c>
      <c r="E4" s="7" t="s">
        <v>43</v>
      </c>
      <c r="F4" s="7" t="s">
        <v>43</v>
      </c>
      <c r="G4" s="7">
        <v>2021</v>
      </c>
      <c r="H4" s="7" t="str">
        <f>CONCATENATE("14240483033")</f>
        <v>14240483033</v>
      </c>
      <c r="I4" s="7" t="s">
        <v>40</v>
      </c>
      <c r="J4" s="7" t="s">
        <v>31</v>
      </c>
      <c r="K4" s="7" t="str">
        <f>CONCATENATE("")</f>
        <v/>
      </c>
      <c r="L4" s="7" t="str">
        <f>CONCATENATE("10 10.1 4a")</f>
        <v>10 10.1 4a</v>
      </c>
      <c r="M4" s="7" t="str">
        <f>CONCATENATE("SCLRRT58P14D024H")</f>
        <v>SCLRRT58P14D024H</v>
      </c>
      <c r="N4" s="7" t="s">
        <v>49</v>
      </c>
      <c r="O4" s="7" t="s">
        <v>50</v>
      </c>
      <c r="P4" s="8">
        <v>44700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2185.7800000000002</v>
      </c>
      <c r="W4" s="7">
        <v>942.51</v>
      </c>
      <c r="X4" s="7">
        <v>870.38</v>
      </c>
      <c r="Y4" s="7">
        <v>0</v>
      </c>
      <c r="Z4" s="7">
        <v>372.89</v>
      </c>
    </row>
    <row r="5" spans="1:26" x14ac:dyDescent="0.35">
      <c r="A5" s="7" t="s">
        <v>27</v>
      </c>
      <c r="B5" s="7" t="s">
        <v>36</v>
      </c>
      <c r="C5" s="7" t="s">
        <v>47</v>
      </c>
      <c r="D5" s="7" t="s">
        <v>48</v>
      </c>
      <c r="E5" s="7" t="s">
        <v>43</v>
      </c>
      <c r="F5" s="7" t="s">
        <v>43</v>
      </c>
      <c r="G5" s="7">
        <v>2021</v>
      </c>
      <c r="H5" s="7" t="str">
        <f>CONCATENATE("14240485848")</f>
        <v>14240485848</v>
      </c>
      <c r="I5" s="7" t="s">
        <v>40</v>
      </c>
      <c r="J5" s="7" t="s">
        <v>31</v>
      </c>
      <c r="K5" s="7" t="str">
        <f>CONCATENATE("")</f>
        <v/>
      </c>
      <c r="L5" s="7" t="str">
        <f>CONCATENATE("10 10.1 4a")</f>
        <v>10 10.1 4a</v>
      </c>
      <c r="M5" s="7" t="str">
        <f>CONCATENATE("SCLRRT58P14D024H")</f>
        <v>SCLRRT58P14D024H</v>
      </c>
      <c r="N5" s="7" t="s">
        <v>49</v>
      </c>
      <c r="O5" s="7" t="s">
        <v>50</v>
      </c>
      <c r="P5" s="8">
        <v>44700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1122.69</v>
      </c>
      <c r="W5" s="7">
        <v>484.1</v>
      </c>
      <c r="X5" s="7">
        <v>447.06</v>
      </c>
      <c r="Y5" s="7">
        <v>0</v>
      </c>
      <c r="Z5" s="7">
        <v>191.53</v>
      </c>
    </row>
    <row r="6" spans="1:26" x14ac:dyDescent="0.35">
      <c r="A6" s="7" t="s">
        <v>27</v>
      </c>
      <c r="B6" s="7" t="s">
        <v>36</v>
      </c>
      <c r="C6" s="7" t="s">
        <v>47</v>
      </c>
      <c r="D6" s="7" t="s">
        <v>51</v>
      </c>
      <c r="E6" s="7" t="s">
        <v>39</v>
      </c>
      <c r="F6" s="7" t="s">
        <v>52</v>
      </c>
      <c r="G6" s="7">
        <v>2021</v>
      </c>
      <c r="H6" s="7" t="str">
        <f>CONCATENATE("14240554882")</f>
        <v>14240554882</v>
      </c>
      <c r="I6" s="7" t="s">
        <v>40</v>
      </c>
      <c r="J6" s="7" t="s">
        <v>31</v>
      </c>
      <c r="K6" s="7" t="str">
        <f>CONCATENATE("")</f>
        <v/>
      </c>
      <c r="L6" s="7" t="str">
        <f>CONCATENATE("10 10.1 4a")</f>
        <v>10 10.1 4a</v>
      </c>
      <c r="M6" s="7" t="str">
        <f>CONCATENATE("TRNDNL94R03I608L")</f>
        <v>TRNDNL94R03I608L</v>
      </c>
      <c r="N6" s="7" t="s">
        <v>53</v>
      </c>
      <c r="O6" s="7" t="s">
        <v>50</v>
      </c>
      <c r="P6" s="8">
        <v>44700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7">
        <v>450.03</v>
      </c>
      <c r="W6" s="7">
        <v>194.05</v>
      </c>
      <c r="X6" s="7">
        <v>179.2</v>
      </c>
      <c r="Y6" s="7">
        <v>0</v>
      </c>
      <c r="Z6" s="7">
        <v>76.78</v>
      </c>
    </row>
    <row r="7" spans="1:26" x14ac:dyDescent="0.35">
      <c r="A7" s="7" t="s">
        <v>27</v>
      </c>
      <c r="B7" s="7" t="s">
        <v>36</v>
      </c>
      <c r="C7" s="7" t="s">
        <v>47</v>
      </c>
      <c r="D7" s="7" t="s">
        <v>51</v>
      </c>
      <c r="E7" s="7" t="s">
        <v>39</v>
      </c>
      <c r="F7" s="7" t="s">
        <v>54</v>
      </c>
      <c r="G7" s="7">
        <v>2021</v>
      </c>
      <c r="H7" s="7" t="str">
        <f>CONCATENATE("14240801788")</f>
        <v>14240801788</v>
      </c>
      <c r="I7" s="7" t="s">
        <v>30</v>
      </c>
      <c r="J7" s="7" t="s">
        <v>31</v>
      </c>
      <c r="K7" s="7" t="str">
        <f>CONCATENATE("")</f>
        <v/>
      </c>
      <c r="L7" s="7" t="str">
        <f>CONCATENATE("10 10.1 4b")</f>
        <v>10 10.1 4b</v>
      </c>
      <c r="M7" s="7" t="str">
        <f>CONCATENATE("BLTDEI56T01Z103G")</f>
        <v>BLTDEI56T01Z103G</v>
      </c>
      <c r="N7" s="7" t="s">
        <v>55</v>
      </c>
      <c r="O7" s="7" t="s">
        <v>50</v>
      </c>
      <c r="P7" s="8">
        <v>44700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2779.69</v>
      </c>
      <c r="W7" s="9">
        <v>1198.5999999999999</v>
      </c>
      <c r="X7" s="9">
        <v>1106.8699999999999</v>
      </c>
      <c r="Y7" s="7">
        <v>0</v>
      </c>
      <c r="Z7" s="7">
        <v>474.22</v>
      </c>
    </row>
    <row r="8" spans="1:26" x14ac:dyDescent="0.35">
      <c r="A8" s="7" t="s">
        <v>27</v>
      </c>
      <c r="B8" s="7" t="s">
        <v>36</v>
      </c>
      <c r="C8" s="7" t="s">
        <v>47</v>
      </c>
      <c r="D8" s="7" t="s">
        <v>48</v>
      </c>
      <c r="E8" s="7" t="s">
        <v>43</v>
      </c>
      <c r="F8" s="7" t="s">
        <v>43</v>
      </c>
      <c r="G8" s="7">
        <v>2021</v>
      </c>
      <c r="H8" s="7" t="str">
        <f>CONCATENATE("14240871112")</f>
        <v>14240871112</v>
      </c>
      <c r="I8" s="7" t="s">
        <v>40</v>
      </c>
      <c r="J8" s="7" t="s">
        <v>31</v>
      </c>
      <c r="K8" s="7" t="str">
        <f>CONCATENATE("")</f>
        <v/>
      </c>
      <c r="L8" s="7" t="str">
        <f>CONCATENATE("10 10.1 4a")</f>
        <v>10 10.1 4a</v>
      </c>
      <c r="M8" s="7" t="str">
        <f>CONCATENATE("SCLMRC88D03D024S")</f>
        <v>SCLMRC88D03D024S</v>
      </c>
      <c r="N8" s="7" t="s">
        <v>56</v>
      </c>
      <c r="O8" s="7" t="s">
        <v>50</v>
      </c>
      <c r="P8" s="8">
        <v>44700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1611.25</v>
      </c>
      <c r="W8" s="7">
        <v>694.77</v>
      </c>
      <c r="X8" s="7">
        <v>641.6</v>
      </c>
      <c r="Y8" s="7">
        <v>0</v>
      </c>
      <c r="Z8" s="7">
        <v>274.88</v>
      </c>
    </row>
    <row r="9" spans="1:26" x14ac:dyDescent="0.35">
      <c r="A9" s="7" t="s">
        <v>27</v>
      </c>
      <c r="B9" s="7" t="s">
        <v>36</v>
      </c>
      <c r="C9" s="7" t="s">
        <v>47</v>
      </c>
      <c r="D9" s="7" t="s">
        <v>48</v>
      </c>
      <c r="E9" s="7" t="s">
        <v>43</v>
      </c>
      <c r="F9" s="7" t="s">
        <v>43</v>
      </c>
      <c r="G9" s="7">
        <v>2021</v>
      </c>
      <c r="H9" s="7" t="str">
        <f>CONCATENATE("14240871278")</f>
        <v>14240871278</v>
      </c>
      <c r="I9" s="7" t="s">
        <v>40</v>
      </c>
      <c r="J9" s="7" t="s">
        <v>31</v>
      </c>
      <c r="K9" s="7" t="str">
        <f>CONCATENATE("")</f>
        <v/>
      </c>
      <c r="L9" s="7" t="str">
        <f>CONCATENATE("10 10.1 4a")</f>
        <v>10 10.1 4a</v>
      </c>
      <c r="M9" s="7" t="str">
        <f>CONCATENATE("SCLMRC88D03D024S")</f>
        <v>SCLMRC88D03D024S</v>
      </c>
      <c r="N9" s="7" t="s">
        <v>56</v>
      </c>
      <c r="O9" s="7" t="s">
        <v>50</v>
      </c>
      <c r="P9" s="8">
        <v>44700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4147.49</v>
      </c>
      <c r="W9" s="9">
        <v>1788.4</v>
      </c>
      <c r="X9" s="9">
        <v>1651.53</v>
      </c>
      <c r="Y9" s="7">
        <v>0</v>
      </c>
      <c r="Z9" s="7">
        <v>707.56</v>
      </c>
    </row>
    <row r="10" spans="1:26" x14ac:dyDescent="0.35">
      <c r="A10" s="7" t="s">
        <v>27</v>
      </c>
      <c r="B10" s="7" t="s">
        <v>36</v>
      </c>
      <c r="C10" s="7" t="s">
        <v>47</v>
      </c>
      <c r="D10" s="7" t="s">
        <v>48</v>
      </c>
      <c r="E10" s="7" t="s">
        <v>38</v>
      </c>
      <c r="F10" s="7" t="s">
        <v>57</v>
      </c>
      <c r="G10" s="7">
        <v>2021</v>
      </c>
      <c r="H10" s="7" t="str">
        <f>CONCATENATE("14240711367")</f>
        <v>14240711367</v>
      </c>
      <c r="I10" s="7" t="s">
        <v>40</v>
      </c>
      <c r="J10" s="7" t="s">
        <v>31</v>
      </c>
      <c r="K10" s="7" t="str">
        <f>CONCATENATE("")</f>
        <v/>
      </c>
      <c r="L10" s="7" t="str">
        <f>CONCATENATE("10 10.1 4a")</f>
        <v>10 10.1 4a</v>
      </c>
      <c r="M10" s="7" t="str">
        <f>CONCATENATE("SBRLBR49L31B474W")</f>
        <v>SBRLBR49L31B474W</v>
      </c>
      <c r="N10" s="7" t="s">
        <v>58</v>
      </c>
      <c r="O10" s="7" t="s">
        <v>50</v>
      </c>
      <c r="P10" s="8">
        <v>44700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1380.23</v>
      </c>
      <c r="W10" s="7">
        <v>595.16</v>
      </c>
      <c r="X10" s="7">
        <v>549.61</v>
      </c>
      <c r="Y10" s="7">
        <v>0</v>
      </c>
      <c r="Z10" s="7">
        <v>235.46</v>
      </c>
    </row>
    <row r="11" spans="1:26" x14ac:dyDescent="0.35">
      <c r="A11" s="7" t="s">
        <v>27</v>
      </c>
      <c r="B11" s="7" t="s">
        <v>36</v>
      </c>
      <c r="C11" s="7" t="s">
        <v>47</v>
      </c>
      <c r="D11" s="7" t="s">
        <v>48</v>
      </c>
      <c r="E11" s="7" t="s">
        <v>29</v>
      </c>
      <c r="F11" s="7" t="s">
        <v>59</v>
      </c>
      <c r="G11" s="7">
        <v>2021</v>
      </c>
      <c r="H11" s="7" t="str">
        <f>CONCATENATE("14240473950")</f>
        <v>14240473950</v>
      </c>
      <c r="I11" s="7" t="s">
        <v>40</v>
      </c>
      <c r="J11" s="7" t="s">
        <v>31</v>
      </c>
      <c r="K11" s="7" t="str">
        <f>CONCATENATE("")</f>
        <v/>
      </c>
      <c r="L11" s="7" t="str">
        <f>CONCATENATE("10 10.1 4a")</f>
        <v>10 10.1 4a</v>
      </c>
      <c r="M11" s="7" t="str">
        <f>CONCATENATE("MGGNZR49E24I661D")</f>
        <v>MGGNZR49E24I661D</v>
      </c>
      <c r="N11" s="7" t="s">
        <v>60</v>
      </c>
      <c r="O11" s="7" t="s">
        <v>50</v>
      </c>
      <c r="P11" s="8">
        <v>44700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7">
        <v>826.66</v>
      </c>
      <c r="W11" s="7">
        <v>356.46</v>
      </c>
      <c r="X11" s="7">
        <v>329.18</v>
      </c>
      <c r="Y11" s="7">
        <v>0</v>
      </c>
      <c r="Z11" s="7">
        <v>141.02000000000001</v>
      </c>
    </row>
    <row r="12" spans="1:26" x14ac:dyDescent="0.35">
      <c r="A12" s="7" t="s">
        <v>27</v>
      </c>
      <c r="B12" s="7" t="s">
        <v>36</v>
      </c>
      <c r="C12" s="7" t="s">
        <v>47</v>
      </c>
      <c r="D12" s="7" t="s">
        <v>48</v>
      </c>
      <c r="E12" s="7" t="s">
        <v>43</v>
      </c>
      <c r="F12" s="7" t="s">
        <v>43</v>
      </c>
      <c r="G12" s="7">
        <v>2021</v>
      </c>
      <c r="H12" s="7" t="str">
        <f>CONCATENATE("14241228676")</f>
        <v>14241228676</v>
      </c>
      <c r="I12" s="7" t="s">
        <v>40</v>
      </c>
      <c r="J12" s="7" t="s">
        <v>31</v>
      </c>
      <c r="K12" s="7" t="str">
        <f>CONCATENATE("")</f>
        <v/>
      </c>
      <c r="L12" s="7" t="str">
        <f>CONCATENATE("10 10.1 4a")</f>
        <v>10 10.1 4a</v>
      </c>
      <c r="M12" s="7" t="str">
        <f>CONCATENATE("01297880435")</f>
        <v>01297880435</v>
      </c>
      <c r="N12" s="7" t="s">
        <v>61</v>
      </c>
      <c r="O12" s="7" t="s">
        <v>50</v>
      </c>
      <c r="P12" s="8">
        <v>44700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9180.33</v>
      </c>
      <c r="W12" s="9">
        <v>3958.56</v>
      </c>
      <c r="X12" s="9">
        <v>3655.61</v>
      </c>
      <c r="Y12" s="7">
        <v>0</v>
      </c>
      <c r="Z12" s="9">
        <v>1566.16</v>
      </c>
    </row>
    <row r="13" spans="1:26" x14ac:dyDescent="0.35">
      <c r="A13" s="7" t="s">
        <v>27</v>
      </c>
      <c r="B13" s="7" t="s">
        <v>36</v>
      </c>
      <c r="C13" s="7" t="s">
        <v>47</v>
      </c>
      <c r="D13" s="7" t="s">
        <v>62</v>
      </c>
      <c r="E13" s="7" t="s">
        <v>39</v>
      </c>
      <c r="F13" s="7" t="s">
        <v>63</v>
      </c>
      <c r="G13" s="7">
        <v>2021</v>
      </c>
      <c r="H13" s="7" t="str">
        <f>CONCATENATE("14240089244")</f>
        <v>14240089244</v>
      </c>
      <c r="I13" s="7" t="s">
        <v>30</v>
      </c>
      <c r="J13" s="7" t="s">
        <v>31</v>
      </c>
      <c r="K13" s="7" t="str">
        <f>CONCATENATE("")</f>
        <v/>
      </c>
      <c r="L13" s="7" t="str">
        <f>CONCATENATE("10 10.1 4a")</f>
        <v>10 10.1 4a</v>
      </c>
      <c r="M13" s="7" t="str">
        <f>CONCATENATE("MRTSNT80P45E388B")</f>
        <v>MRTSNT80P45E388B</v>
      </c>
      <c r="N13" s="7" t="s">
        <v>64</v>
      </c>
      <c r="O13" s="7" t="s">
        <v>50</v>
      </c>
      <c r="P13" s="8">
        <v>44700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7">
        <v>167.04</v>
      </c>
      <c r="W13" s="7">
        <v>72.03</v>
      </c>
      <c r="X13" s="7">
        <v>66.52</v>
      </c>
      <c r="Y13" s="7">
        <v>0</v>
      </c>
      <c r="Z13" s="7">
        <v>28.49</v>
      </c>
    </row>
    <row r="14" spans="1:26" x14ac:dyDescent="0.35">
      <c r="A14" s="7" t="s">
        <v>27</v>
      </c>
      <c r="B14" s="7" t="s">
        <v>36</v>
      </c>
      <c r="C14" s="7" t="s">
        <v>47</v>
      </c>
      <c r="D14" s="7" t="s">
        <v>48</v>
      </c>
      <c r="E14" s="7" t="s">
        <v>42</v>
      </c>
      <c r="F14" s="7" t="s">
        <v>65</v>
      </c>
      <c r="G14" s="7">
        <v>2021</v>
      </c>
      <c r="H14" s="7" t="str">
        <f>CONCATENATE("14240866492")</f>
        <v>14240866492</v>
      </c>
      <c r="I14" s="7" t="s">
        <v>40</v>
      </c>
      <c r="J14" s="7" t="s">
        <v>31</v>
      </c>
      <c r="K14" s="7" t="str">
        <f>CONCATENATE("")</f>
        <v/>
      </c>
      <c r="L14" s="7" t="str">
        <f>CONCATENATE("10 10.1 4a")</f>
        <v>10 10.1 4a</v>
      </c>
      <c r="M14" s="7" t="str">
        <f>CONCATENATE("SBBMTT98H09G478K")</f>
        <v>SBBMTT98H09G478K</v>
      </c>
      <c r="N14" s="7" t="s">
        <v>66</v>
      </c>
      <c r="O14" s="7" t="s">
        <v>50</v>
      </c>
      <c r="P14" s="8">
        <v>44700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7">
        <v>708.26</v>
      </c>
      <c r="W14" s="7">
        <v>305.39999999999998</v>
      </c>
      <c r="X14" s="7">
        <v>282.02999999999997</v>
      </c>
      <c r="Y14" s="7">
        <v>0</v>
      </c>
      <c r="Z14" s="7">
        <v>120.83</v>
      </c>
    </row>
    <row r="15" spans="1:26" x14ac:dyDescent="0.35">
      <c r="A15" s="7" t="s">
        <v>27</v>
      </c>
      <c r="B15" s="7" t="s">
        <v>36</v>
      </c>
      <c r="C15" s="7" t="s">
        <v>47</v>
      </c>
      <c r="D15" s="7" t="s">
        <v>48</v>
      </c>
      <c r="E15" s="7" t="s">
        <v>42</v>
      </c>
      <c r="F15" s="7" t="s">
        <v>65</v>
      </c>
      <c r="G15" s="7">
        <v>2021</v>
      </c>
      <c r="H15" s="7" t="str">
        <f>CONCATENATE("14240867060")</f>
        <v>14240867060</v>
      </c>
      <c r="I15" s="7" t="s">
        <v>40</v>
      </c>
      <c r="J15" s="7" t="s">
        <v>31</v>
      </c>
      <c r="K15" s="7" t="str">
        <f>CONCATENATE("")</f>
        <v/>
      </c>
      <c r="L15" s="7" t="str">
        <f>CONCATENATE("10 10.1 4a")</f>
        <v>10 10.1 4a</v>
      </c>
      <c r="M15" s="7" t="str">
        <f>CONCATENATE("SBBMTT98H09G478K")</f>
        <v>SBBMTT98H09G478K</v>
      </c>
      <c r="N15" s="7" t="s">
        <v>66</v>
      </c>
      <c r="O15" s="7" t="s">
        <v>50</v>
      </c>
      <c r="P15" s="8">
        <v>44700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7">
        <v>764.83</v>
      </c>
      <c r="W15" s="7">
        <v>329.79</v>
      </c>
      <c r="X15" s="7">
        <v>304.56</v>
      </c>
      <c r="Y15" s="7">
        <v>0</v>
      </c>
      <c r="Z15" s="7">
        <v>130.47999999999999</v>
      </c>
    </row>
    <row r="16" spans="1:26" x14ac:dyDescent="0.35">
      <c r="A16" s="7" t="s">
        <v>27</v>
      </c>
      <c r="B16" s="7" t="s">
        <v>36</v>
      </c>
      <c r="C16" s="7" t="s">
        <v>47</v>
      </c>
      <c r="D16" s="7" t="s">
        <v>48</v>
      </c>
      <c r="E16" s="7" t="s">
        <v>38</v>
      </c>
      <c r="F16" s="7" t="s">
        <v>57</v>
      </c>
      <c r="G16" s="7">
        <v>2021</v>
      </c>
      <c r="H16" s="7" t="str">
        <f>CONCATENATE("14240706813")</f>
        <v>14240706813</v>
      </c>
      <c r="I16" s="7" t="s">
        <v>40</v>
      </c>
      <c r="J16" s="7" t="s">
        <v>31</v>
      </c>
      <c r="K16" s="7" t="str">
        <f>CONCATENATE("")</f>
        <v/>
      </c>
      <c r="L16" s="7" t="str">
        <f>CONCATENATE("10 10.1 4a")</f>
        <v>10 10.1 4a</v>
      </c>
      <c r="M16" s="7" t="str">
        <f>CONCATENATE("CPTGRG77S13B474U")</f>
        <v>CPTGRG77S13B474U</v>
      </c>
      <c r="N16" s="7" t="s">
        <v>67</v>
      </c>
      <c r="O16" s="7" t="s">
        <v>50</v>
      </c>
      <c r="P16" s="8">
        <v>44700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7">
        <v>172.19</v>
      </c>
      <c r="W16" s="7">
        <v>74.25</v>
      </c>
      <c r="X16" s="7">
        <v>68.569999999999993</v>
      </c>
      <c r="Y16" s="7">
        <v>0</v>
      </c>
      <c r="Z16" s="7">
        <v>29.37</v>
      </c>
    </row>
    <row r="17" spans="1:26" x14ac:dyDescent="0.35">
      <c r="A17" s="7" t="s">
        <v>27</v>
      </c>
      <c r="B17" s="7" t="s">
        <v>36</v>
      </c>
      <c r="C17" s="7" t="s">
        <v>47</v>
      </c>
      <c r="D17" s="7" t="s">
        <v>48</v>
      </c>
      <c r="E17" s="7" t="s">
        <v>38</v>
      </c>
      <c r="F17" s="7" t="s">
        <v>57</v>
      </c>
      <c r="G17" s="7">
        <v>2021</v>
      </c>
      <c r="H17" s="7" t="str">
        <f>CONCATENATE("14241377705")</f>
        <v>14241377705</v>
      </c>
      <c r="I17" s="7" t="s">
        <v>40</v>
      </c>
      <c r="J17" s="7" t="s">
        <v>31</v>
      </c>
      <c r="K17" s="7" t="str">
        <f>CONCATENATE("")</f>
        <v/>
      </c>
      <c r="L17" s="7" t="str">
        <f>CONCATENATE("10 10.1 4a")</f>
        <v>10 10.1 4a</v>
      </c>
      <c r="M17" s="7" t="str">
        <f>CONCATENATE("PSLLSE01S52I156A")</f>
        <v>PSLLSE01S52I156A</v>
      </c>
      <c r="N17" s="7" t="s">
        <v>68</v>
      </c>
      <c r="O17" s="7" t="s">
        <v>50</v>
      </c>
      <c r="P17" s="8">
        <v>44700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7">
        <v>300.88</v>
      </c>
      <c r="W17" s="7">
        <v>129.74</v>
      </c>
      <c r="X17" s="7">
        <v>119.81</v>
      </c>
      <c r="Y17" s="7">
        <v>0</v>
      </c>
      <c r="Z17" s="7">
        <v>51.33</v>
      </c>
    </row>
    <row r="18" spans="1:26" x14ac:dyDescent="0.35">
      <c r="A18" s="7" t="s">
        <v>27</v>
      </c>
      <c r="B18" s="7" t="s">
        <v>36</v>
      </c>
      <c r="C18" s="7" t="s">
        <v>47</v>
      </c>
      <c r="D18" s="7" t="s">
        <v>48</v>
      </c>
      <c r="E18" s="7" t="s">
        <v>38</v>
      </c>
      <c r="F18" s="7" t="s">
        <v>57</v>
      </c>
      <c r="G18" s="7">
        <v>2021</v>
      </c>
      <c r="H18" s="7" t="str">
        <f>CONCATENATE("14241512129")</f>
        <v>14241512129</v>
      </c>
      <c r="I18" s="7" t="s">
        <v>40</v>
      </c>
      <c r="J18" s="7" t="s">
        <v>31</v>
      </c>
      <c r="K18" s="7" t="str">
        <f>CONCATENATE("")</f>
        <v/>
      </c>
      <c r="L18" s="7" t="str">
        <f>CONCATENATE("10 10.1 4a")</f>
        <v>10 10.1 4a</v>
      </c>
      <c r="M18" s="7" t="str">
        <f>CONCATENATE("SPEMNL95C17B474Y")</f>
        <v>SPEMNL95C17B474Y</v>
      </c>
      <c r="N18" s="7" t="s">
        <v>69</v>
      </c>
      <c r="O18" s="7" t="s">
        <v>50</v>
      </c>
      <c r="P18" s="8">
        <v>44700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7">
        <v>339.88</v>
      </c>
      <c r="W18" s="7">
        <v>146.56</v>
      </c>
      <c r="X18" s="7">
        <v>135.34</v>
      </c>
      <c r="Y18" s="7">
        <v>0</v>
      </c>
      <c r="Z18" s="7">
        <v>57.98</v>
      </c>
    </row>
    <row r="19" spans="1:26" x14ac:dyDescent="0.35">
      <c r="A19" s="7" t="s">
        <v>27</v>
      </c>
      <c r="B19" s="7" t="s">
        <v>36</v>
      </c>
      <c r="C19" s="7" t="s">
        <v>47</v>
      </c>
      <c r="D19" s="7" t="s">
        <v>48</v>
      </c>
      <c r="E19" s="7" t="s">
        <v>38</v>
      </c>
      <c r="F19" s="7" t="s">
        <v>57</v>
      </c>
      <c r="G19" s="7">
        <v>2021</v>
      </c>
      <c r="H19" s="7" t="str">
        <f>CONCATENATE("14241438697")</f>
        <v>14241438697</v>
      </c>
      <c r="I19" s="7" t="s">
        <v>40</v>
      </c>
      <c r="J19" s="7" t="s">
        <v>31</v>
      </c>
      <c r="K19" s="7" t="str">
        <f>CONCATENATE("")</f>
        <v/>
      </c>
      <c r="L19" s="7" t="str">
        <f>CONCATENATE("10 10.1 4a")</f>
        <v>10 10.1 4a</v>
      </c>
      <c r="M19" s="7" t="str">
        <f>CONCATENATE("SPEMNL95C17B474Y")</f>
        <v>SPEMNL95C17B474Y</v>
      </c>
      <c r="N19" s="7" t="s">
        <v>69</v>
      </c>
      <c r="O19" s="7" t="s">
        <v>50</v>
      </c>
      <c r="P19" s="8">
        <v>44700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7">
        <v>600.76</v>
      </c>
      <c r="W19" s="7">
        <v>259.05</v>
      </c>
      <c r="X19" s="7">
        <v>239.22</v>
      </c>
      <c r="Y19" s="7">
        <v>0</v>
      </c>
      <c r="Z19" s="7">
        <v>102.49</v>
      </c>
    </row>
    <row r="20" spans="1:26" x14ac:dyDescent="0.35">
      <c r="A20" s="7" t="s">
        <v>27</v>
      </c>
      <c r="B20" s="7" t="s">
        <v>36</v>
      </c>
      <c r="C20" s="7" t="s">
        <v>47</v>
      </c>
      <c r="D20" s="7" t="s">
        <v>48</v>
      </c>
      <c r="E20" s="7" t="s">
        <v>38</v>
      </c>
      <c r="F20" s="7" t="s">
        <v>57</v>
      </c>
      <c r="G20" s="7">
        <v>2021</v>
      </c>
      <c r="H20" s="7" t="str">
        <f>CONCATENATE("14240959461")</f>
        <v>14240959461</v>
      </c>
      <c r="I20" s="7" t="s">
        <v>40</v>
      </c>
      <c r="J20" s="7" t="s">
        <v>31</v>
      </c>
      <c r="K20" s="7" t="str">
        <f>CONCATENATE("")</f>
        <v/>
      </c>
      <c r="L20" s="7" t="str">
        <f>CONCATENATE("10 10.1 4a")</f>
        <v>10 10.1 4a</v>
      </c>
      <c r="M20" s="7" t="str">
        <f>CONCATENATE("SBBLCU94S41B474M")</f>
        <v>SBBLCU94S41B474M</v>
      </c>
      <c r="N20" s="7" t="s">
        <v>70</v>
      </c>
      <c r="O20" s="7" t="s">
        <v>50</v>
      </c>
      <c r="P20" s="8">
        <v>44700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1408.27</v>
      </c>
      <c r="W20" s="7">
        <v>607.25</v>
      </c>
      <c r="X20" s="7">
        <v>560.77</v>
      </c>
      <c r="Y20" s="7">
        <v>0</v>
      </c>
      <c r="Z20" s="7">
        <v>240.25</v>
      </c>
    </row>
    <row r="21" spans="1:26" x14ac:dyDescent="0.35">
      <c r="A21" s="7" t="s">
        <v>27</v>
      </c>
      <c r="B21" s="7" t="s">
        <v>28</v>
      </c>
      <c r="C21" s="7" t="s">
        <v>47</v>
      </c>
      <c r="D21" s="7" t="s">
        <v>51</v>
      </c>
      <c r="E21" s="7" t="s">
        <v>43</v>
      </c>
      <c r="F21" s="7" t="s">
        <v>43</v>
      </c>
      <c r="G21" s="7">
        <v>2017</v>
      </c>
      <c r="H21" s="7" t="str">
        <f>CONCATENATE("14270364095")</f>
        <v>14270364095</v>
      </c>
      <c r="I21" s="7" t="s">
        <v>30</v>
      </c>
      <c r="J21" s="7" t="s">
        <v>31</v>
      </c>
      <c r="K21" s="7" t="str">
        <f>CONCATENATE("")</f>
        <v/>
      </c>
      <c r="L21" s="7" t="str">
        <f>CONCATENATE("6 6.1 2b")</f>
        <v>6 6.1 2b</v>
      </c>
      <c r="M21" s="7" t="str">
        <f>CONCATENATE("VNGLCU77P23H501A")</f>
        <v>VNGLCU77P23H501A</v>
      </c>
      <c r="N21" s="7" t="s">
        <v>71</v>
      </c>
      <c r="O21" s="7" t="s">
        <v>72</v>
      </c>
      <c r="P21" s="8">
        <v>44701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14550</v>
      </c>
      <c r="W21" s="9">
        <v>6273.96</v>
      </c>
      <c r="X21" s="9">
        <v>5793.81</v>
      </c>
      <c r="Y21" s="7">
        <v>0</v>
      </c>
      <c r="Z21" s="9">
        <v>2482.23</v>
      </c>
    </row>
    <row r="22" spans="1:26" x14ac:dyDescent="0.35">
      <c r="A22" s="7" t="s">
        <v>27</v>
      </c>
      <c r="B22" s="7" t="s">
        <v>36</v>
      </c>
      <c r="C22" s="7" t="s">
        <v>47</v>
      </c>
      <c r="D22" s="7" t="s">
        <v>48</v>
      </c>
      <c r="E22" s="7" t="s">
        <v>43</v>
      </c>
      <c r="F22" s="7" t="s">
        <v>43</v>
      </c>
      <c r="G22" s="7">
        <v>2021</v>
      </c>
      <c r="H22" s="7" t="str">
        <f>CONCATENATE("14240485863")</f>
        <v>14240485863</v>
      </c>
      <c r="I22" s="7" t="s">
        <v>40</v>
      </c>
      <c r="J22" s="7" t="s">
        <v>31</v>
      </c>
      <c r="K22" s="7" t="str">
        <f>CONCATENATE("")</f>
        <v/>
      </c>
      <c r="L22" s="7" t="str">
        <f>CONCATENATE("11 11.2 4b")</f>
        <v>11 11.2 4b</v>
      </c>
      <c r="M22" s="7" t="str">
        <f>CONCATENATE("SCLRRT58P14D024H")</f>
        <v>SCLRRT58P14D024H</v>
      </c>
      <c r="N22" s="7" t="s">
        <v>49</v>
      </c>
      <c r="O22" s="7" t="s">
        <v>73</v>
      </c>
      <c r="P22" s="8">
        <v>44700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3997.42</v>
      </c>
      <c r="W22" s="9">
        <v>1723.69</v>
      </c>
      <c r="X22" s="9">
        <v>1591.77</v>
      </c>
      <c r="Y22" s="7">
        <v>0</v>
      </c>
      <c r="Z22" s="7">
        <v>681.96</v>
      </c>
    </row>
    <row r="23" spans="1:26" x14ac:dyDescent="0.35">
      <c r="A23" s="7" t="s">
        <v>27</v>
      </c>
      <c r="B23" s="7" t="s">
        <v>36</v>
      </c>
      <c r="C23" s="7" t="s">
        <v>47</v>
      </c>
      <c r="D23" s="7" t="s">
        <v>48</v>
      </c>
      <c r="E23" s="7" t="s">
        <v>38</v>
      </c>
      <c r="F23" s="7" t="s">
        <v>57</v>
      </c>
      <c r="G23" s="7">
        <v>2021</v>
      </c>
      <c r="H23" s="7" t="str">
        <f>CONCATENATE("14240988577")</f>
        <v>14240988577</v>
      </c>
      <c r="I23" s="7" t="s">
        <v>40</v>
      </c>
      <c r="J23" s="7" t="s">
        <v>31</v>
      </c>
      <c r="K23" s="7" t="str">
        <f>CONCATENATE("")</f>
        <v/>
      </c>
      <c r="L23" s="7" t="str">
        <f>CONCATENATE("11 11.2 4b")</f>
        <v>11 11.2 4b</v>
      </c>
      <c r="M23" s="7" t="str">
        <f>CONCATENATE("SBRLBR49L31B474W")</f>
        <v>SBRLBR49L31B474W</v>
      </c>
      <c r="N23" s="7" t="s">
        <v>58</v>
      </c>
      <c r="O23" s="7" t="s">
        <v>73</v>
      </c>
      <c r="P23" s="8">
        <v>44700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7">
        <v>516.37</v>
      </c>
      <c r="W23" s="7">
        <v>222.66</v>
      </c>
      <c r="X23" s="7">
        <v>205.62</v>
      </c>
      <c r="Y23" s="7">
        <v>0</v>
      </c>
      <c r="Z23" s="7">
        <v>88.09</v>
      </c>
    </row>
    <row r="24" spans="1:26" x14ac:dyDescent="0.35">
      <c r="A24" s="7" t="s">
        <v>27</v>
      </c>
      <c r="B24" s="7" t="s">
        <v>36</v>
      </c>
      <c r="C24" s="7" t="s">
        <v>47</v>
      </c>
      <c r="D24" s="7" t="s">
        <v>48</v>
      </c>
      <c r="E24" s="7" t="s">
        <v>38</v>
      </c>
      <c r="F24" s="7" t="s">
        <v>57</v>
      </c>
      <c r="G24" s="7">
        <v>2021</v>
      </c>
      <c r="H24" s="7" t="str">
        <f>CONCATENATE("14241232025")</f>
        <v>14241232025</v>
      </c>
      <c r="I24" s="7" t="s">
        <v>40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CONCATENATE("PSLLSE01S52I156A")</f>
        <v>PSLLSE01S52I156A</v>
      </c>
      <c r="N24" s="7" t="s">
        <v>68</v>
      </c>
      <c r="O24" s="7" t="s">
        <v>73</v>
      </c>
      <c r="P24" s="8">
        <v>44700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1082.8699999999999</v>
      </c>
      <c r="W24" s="7">
        <v>466.93</v>
      </c>
      <c r="X24" s="7">
        <v>431.2</v>
      </c>
      <c r="Y24" s="7">
        <v>0</v>
      </c>
      <c r="Z24" s="7">
        <v>184.74</v>
      </c>
    </row>
    <row r="25" spans="1:26" x14ac:dyDescent="0.35">
      <c r="A25" s="7" t="s">
        <v>27</v>
      </c>
      <c r="B25" s="7" t="s">
        <v>36</v>
      </c>
      <c r="C25" s="7" t="s">
        <v>47</v>
      </c>
      <c r="D25" s="7" t="s">
        <v>48</v>
      </c>
      <c r="E25" s="7" t="s">
        <v>37</v>
      </c>
      <c r="F25" s="7" t="s">
        <v>74</v>
      </c>
      <c r="G25" s="7">
        <v>2021</v>
      </c>
      <c r="H25" s="7" t="str">
        <f>CONCATENATE("14240446659")</f>
        <v>14240446659</v>
      </c>
      <c r="I25" s="7" t="s">
        <v>40</v>
      </c>
      <c r="J25" s="7" t="s">
        <v>31</v>
      </c>
      <c r="K25" s="7" t="str">
        <f>CONCATENATE("")</f>
        <v/>
      </c>
      <c r="L25" s="7" t="str">
        <f>CONCATENATE("11 11.2 4b")</f>
        <v>11 11.2 4b</v>
      </c>
      <c r="M25" s="7" t="str">
        <f>CONCATENATE("BCCLCU96H09B474E")</f>
        <v>BCCLCU96H09B474E</v>
      </c>
      <c r="N25" s="7" t="s">
        <v>75</v>
      </c>
      <c r="O25" s="7" t="s">
        <v>73</v>
      </c>
      <c r="P25" s="8">
        <v>44700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81.84</v>
      </c>
      <c r="W25" s="7">
        <v>35.29</v>
      </c>
      <c r="X25" s="7">
        <v>32.590000000000003</v>
      </c>
      <c r="Y25" s="7">
        <v>0</v>
      </c>
      <c r="Z25" s="7">
        <v>13.96</v>
      </c>
    </row>
    <row r="26" spans="1:26" x14ac:dyDescent="0.35">
      <c r="A26" s="7" t="s">
        <v>27</v>
      </c>
      <c r="B26" s="7" t="s">
        <v>36</v>
      </c>
      <c r="C26" s="7" t="s">
        <v>47</v>
      </c>
      <c r="D26" s="7" t="s">
        <v>48</v>
      </c>
      <c r="E26" s="7" t="s">
        <v>37</v>
      </c>
      <c r="F26" s="7" t="s">
        <v>74</v>
      </c>
      <c r="G26" s="7">
        <v>2021</v>
      </c>
      <c r="H26" s="7" t="str">
        <f>CONCATENATE("14240446584")</f>
        <v>14240446584</v>
      </c>
      <c r="I26" s="7" t="s">
        <v>40</v>
      </c>
      <c r="J26" s="7" t="s">
        <v>31</v>
      </c>
      <c r="K26" s="7" t="str">
        <f>CONCATENATE("")</f>
        <v/>
      </c>
      <c r="L26" s="7" t="str">
        <f>CONCATENATE("11 11.2 4b")</f>
        <v>11 11.2 4b</v>
      </c>
      <c r="M26" s="7" t="str">
        <f>CONCATENATE("BCCLCU96H09B474E")</f>
        <v>BCCLCU96H09B474E</v>
      </c>
      <c r="N26" s="7" t="s">
        <v>75</v>
      </c>
      <c r="O26" s="7" t="s">
        <v>73</v>
      </c>
      <c r="P26" s="8">
        <v>44700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7">
        <v>158.87</v>
      </c>
      <c r="W26" s="7">
        <v>68.5</v>
      </c>
      <c r="X26" s="7">
        <v>63.26</v>
      </c>
      <c r="Y26" s="7">
        <v>0</v>
      </c>
      <c r="Z26" s="7">
        <v>27.11</v>
      </c>
    </row>
    <row r="27" spans="1:26" x14ac:dyDescent="0.35">
      <c r="A27" s="7" t="s">
        <v>27</v>
      </c>
      <c r="B27" s="7" t="s">
        <v>36</v>
      </c>
      <c r="C27" s="7" t="s">
        <v>47</v>
      </c>
      <c r="D27" s="7" t="s">
        <v>48</v>
      </c>
      <c r="E27" s="7" t="s">
        <v>43</v>
      </c>
      <c r="F27" s="7" t="s">
        <v>43</v>
      </c>
      <c r="G27" s="7">
        <v>2021</v>
      </c>
      <c r="H27" s="7" t="str">
        <f>CONCATENATE("14241241786")</f>
        <v>14241241786</v>
      </c>
      <c r="I27" s="7" t="s">
        <v>40</v>
      </c>
      <c r="J27" s="7" t="s">
        <v>31</v>
      </c>
      <c r="K27" s="7" t="str">
        <f>CONCATENATE("")</f>
        <v/>
      </c>
      <c r="L27" s="7" t="str">
        <f>CONCATENATE("11 11.2 4b")</f>
        <v>11 11.2 4b</v>
      </c>
      <c r="M27" s="7" t="str">
        <f>CONCATENATE("01297880435")</f>
        <v>01297880435</v>
      </c>
      <c r="N27" s="7" t="s">
        <v>61</v>
      </c>
      <c r="O27" s="7" t="s">
        <v>73</v>
      </c>
      <c r="P27" s="8">
        <v>44700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25946.22</v>
      </c>
      <c r="W27" s="9">
        <v>11188.01</v>
      </c>
      <c r="X27" s="9">
        <v>10331.780000000001</v>
      </c>
      <c r="Y27" s="7">
        <v>0</v>
      </c>
      <c r="Z27" s="9">
        <v>4426.43</v>
      </c>
    </row>
    <row r="28" spans="1:26" x14ac:dyDescent="0.35">
      <c r="A28" s="7" t="s">
        <v>27</v>
      </c>
      <c r="B28" s="7" t="s">
        <v>36</v>
      </c>
      <c r="C28" s="7" t="s">
        <v>47</v>
      </c>
      <c r="D28" s="7" t="s">
        <v>48</v>
      </c>
      <c r="E28" s="7" t="s">
        <v>38</v>
      </c>
      <c r="F28" s="7" t="s">
        <v>57</v>
      </c>
      <c r="G28" s="7">
        <v>2021</v>
      </c>
      <c r="H28" s="7" t="str">
        <f>CONCATENATE("14241100685")</f>
        <v>14241100685</v>
      </c>
      <c r="I28" s="7" t="s">
        <v>40</v>
      </c>
      <c r="J28" s="7" t="s">
        <v>31</v>
      </c>
      <c r="K28" s="7" t="str">
        <f>CONCATENATE("")</f>
        <v/>
      </c>
      <c r="L28" s="7" t="str">
        <f>CONCATENATE("11 11.2 4b")</f>
        <v>11 11.2 4b</v>
      </c>
      <c r="M28" s="7" t="str">
        <f>CONCATENATE("RCCNLS55P67D564V")</f>
        <v>RCCNLS55P67D564V</v>
      </c>
      <c r="N28" s="7" t="s">
        <v>76</v>
      </c>
      <c r="O28" s="7" t="s">
        <v>73</v>
      </c>
      <c r="P28" s="8">
        <v>44700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1403.07</v>
      </c>
      <c r="W28" s="7">
        <v>605</v>
      </c>
      <c r="X28" s="7">
        <v>558.70000000000005</v>
      </c>
      <c r="Y28" s="7">
        <v>0</v>
      </c>
      <c r="Z28" s="7">
        <v>239.37</v>
      </c>
    </row>
    <row r="29" spans="1:26" x14ac:dyDescent="0.35">
      <c r="A29" s="7" t="s">
        <v>27</v>
      </c>
      <c r="B29" s="7" t="s">
        <v>36</v>
      </c>
      <c r="C29" s="7" t="s">
        <v>47</v>
      </c>
      <c r="D29" s="7" t="s">
        <v>48</v>
      </c>
      <c r="E29" s="7" t="s">
        <v>38</v>
      </c>
      <c r="F29" s="7" t="s">
        <v>57</v>
      </c>
      <c r="G29" s="7">
        <v>2021</v>
      </c>
      <c r="H29" s="7" t="str">
        <f>CONCATENATE("14240987082")</f>
        <v>14240987082</v>
      </c>
      <c r="I29" s="7" t="s">
        <v>40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CONCATENATE("SBRLBR49L31B474W")</f>
        <v>SBRLBR49L31B474W</v>
      </c>
      <c r="N29" s="7" t="s">
        <v>58</v>
      </c>
      <c r="O29" s="7" t="s">
        <v>73</v>
      </c>
      <c r="P29" s="8">
        <v>44700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3221.34</v>
      </c>
      <c r="W29" s="9">
        <v>1389.04</v>
      </c>
      <c r="X29" s="9">
        <v>1282.74</v>
      </c>
      <c r="Y29" s="7">
        <v>0</v>
      </c>
      <c r="Z29" s="7">
        <v>549.55999999999995</v>
      </c>
    </row>
    <row r="30" spans="1:26" x14ac:dyDescent="0.35">
      <c r="A30" s="7" t="s">
        <v>27</v>
      </c>
      <c r="B30" s="7" t="s">
        <v>36</v>
      </c>
      <c r="C30" s="7" t="s">
        <v>47</v>
      </c>
      <c r="D30" s="7" t="s">
        <v>48</v>
      </c>
      <c r="E30" s="7" t="s">
        <v>38</v>
      </c>
      <c r="F30" s="7" t="s">
        <v>57</v>
      </c>
      <c r="G30" s="7">
        <v>2021</v>
      </c>
      <c r="H30" s="7" t="str">
        <f>CONCATENATE("14241312496")</f>
        <v>14241312496</v>
      </c>
      <c r="I30" s="7" t="s">
        <v>40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CONCATENATE("NGLGNN90P20B474S")</f>
        <v>NGLGNN90P20B474S</v>
      </c>
      <c r="N30" s="7" t="s">
        <v>77</v>
      </c>
      <c r="O30" s="7" t="s">
        <v>73</v>
      </c>
      <c r="P30" s="8">
        <v>44700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7">
        <v>703.89</v>
      </c>
      <c r="W30" s="7">
        <v>303.52</v>
      </c>
      <c r="X30" s="7">
        <v>280.29000000000002</v>
      </c>
      <c r="Y30" s="7">
        <v>0</v>
      </c>
      <c r="Z30" s="7">
        <v>120.08</v>
      </c>
    </row>
    <row r="31" spans="1:26" x14ac:dyDescent="0.35">
      <c r="A31" s="7" t="s">
        <v>27</v>
      </c>
      <c r="B31" s="7" t="s">
        <v>36</v>
      </c>
      <c r="C31" s="7" t="s">
        <v>47</v>
      </c>
      <c r="D31" s="7" t="s">
        <v>48</v>
      </c>
      <c r="E31" s="7" t="s">
        <v>38</v>
      </c>
      <c r="F31" s="7" t="s">
        <v>57</v>
      </c>
      <c r="G31" s="7">
        <v>2021</v>
      </c>
      <c r="H31" s="7" t="str">
        <f>CONCATENATE("14241501635")</f>
        <v>14241501635</v>
      </c>
      <c r="I31" s="7" t="s">
        <v>40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CONCATENATE("SPEMNL95C17B474Y")</f>
        <v>SPEMNL95C17B474Y</v>
      </c>
      <c r="N31" s="7" t="s">
        <v>69</v>
      </c>
      <c r="O31" s="7" t="s">
        <v>73</v>
      </c>
      <c r="P31" s="8">
        <v>44700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8731.1200000000008</v>
      </c>
      <c r="W31" s="9">
        <v>3764.86</v>
      </c>
      <c r="X31" s="9">
        <v>3476.73</v>
      </c>
      <c r="Y31" s="7">
        <v>0</v>
      </c>
      <c r="Z31" s="9">
        <v>1489.53</v>
      </c>
    </row>
    <row r="32" spans="1:26" x14ac:dyDescent="0.35">
      <c r="A32" s="7" t="s">
        <v>27</v>
      </c>
      <c r="B32" s="7" t="s">
        <v>36</v>
      </c>
      <c r="C32" s="7" t="s">
        <v>47</v>
      </c>
      <c r="D32" s="7" t="s">
        <v>62</v>
      </c>
      <c r="E32" s="7" t="s">
        <v>39</v>
      </c>
      <c r="F32" s="7" t="s">
        <v>63</v>
      </c>
      <c r="G32" s="7">
        <v>2021</v>
      </c>
      <c r="H32" s="7" t="str">
        <f>CONCATENATE("14240399882")</f>
        <v>14240399882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11.1 4b")</f>
        <v>11 11.1 4b</v>
      </c>
      <c r="M32" s="7" t="str">
        <f>CONCATENATE("02519260422")</f>
        <v>02519260422</v>
      </c>
      <c r="N32" s="7" t="s">
        <v>78</v>
      </c>
      <c r="O32" s="7" t="s">
        <v>73</v>
      </c>
      <c r="P32" s="8">
        <v>44700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2193.09</v>
      </c>
      <c r="W32" s="7">
        <v>945.66</v>
      </c>
      <c r="X32" s="7">
        <v>873.29</v>
      </c>
      <c r="Y32" s="7">
        <v>0</v>
      </c>
      <c r="Z32" s="7">
        <v>374.14</v>
      </c>
    </row>
    <row r="33" spans="1:26" x14ac:dyDescent="0.35">
      <c r="A33" s="7" t="s">
        <v>27</v>
      </c>
      <c r="B33" s="7" t="s">
        <v>36</v>
      </c>
      <c r="C33" s="7" t="s">
        <v>47</v>
      </c>
      <c r="D33" s="7" t="s">
        <v>51</v>
      </c>
      <c r="E33" s="7" t="s">
        <v>39</v>
      </c>
      <c r="F33" s="7" t="s">
        <v>79</v>
      </c>
      <c r="G33" s="7">
        <v>2021</v>
      </c>
      <c r="H33" s="7" t="str">
        <f>CONCATENATE("14240747353")</f>
        <v>14240747353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CONCATENATE("02466470412")</f>
        <v>02466470412</v>
      </c>
      <c r="N33" s="7" t="s">
        <v>80</v>
      </c>
      <c r="O33" s="7" t="s">
        <v>73</v>
      </c>
      <c r="P33" s="8">
        <v>44700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1052.3900000000001</v>
      </c>
      <c r="W33" s="7">
        <v>453.79</v>
      </c>
      <c r="X33" s="7">
        <v>419.06</v>
      </c>
      <c r="Y33" s="7">
        <v>0</v>
      </c>
      <c r="Z33" s="7">
        <v>179.54</v>
      </c>
    </row>
    <row r="34" spans="1:26" x14ac:dyDescent="0.35">
      <c r="A34" s="7" t="s">
        <v>27</v>
      </c>
      <c r="B34" s="7" t="s">
        <v>36</v>
      </c>
      <c r="C34" s="7" t="s">
        <v>47</v>
      </c>
      <c r="D34" s="7" t="s">
        <v>48</v>
      </c>
      <c r="E34" s="7" t="s">
        <v>38</v>
      </c>
      <c r="F34" s="7" t="s">
        <v>81</v>
      </c>
      <c r="G34" s="7">
        <v>2021</v>
      </c>
      <c r="H34" s="7" t="str">
        <f>CONCATENATE("14241037721")</f>
        <v>14241037721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CONCATENATE("SNTLRT55E10H323Z")</f>
        <v>SNTLRT55E10H323Z</v>
      </c>
      <c r="N34" s="7" t="s">
        <v>82</v>
      </c>
      <c r="O34" s="7" t="s">
        <v>73</v>
      </c>
      <c r="P34" s="8">
        <v>44700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5255.54</v>
      </c>
      <c r="W34" s="9">
        <v>2266.19</v>
      </c>
      <c r="X34" s="9">
        <v>2092.7600000000002</v>
      </c>
      <c r="Y34" s="7">
        <v>0</v>
      </c>
      <c r="Z34" s="7">
        <v>896.59</v>
      </c>
    </row>
    <row r="35" spans="1:26" x14ac:dyDescent="0.35">
      <c r="A35" s="7" t="s">
        <v>27</v>
      </c>
      <c r="B35" s="7" t="s">
        <v>36</v>
      </c>
      <c r="C35" s="7" t="s">
        <v>47</v>
      </c>
      <c r="D35" s="7" t="s">
        <v>48</v>
      </c>
      <c r="E35" s="7" t="s">
        <v>38</v>
      </c>
      <c r="F35" s="7" t="s">
        <v>57</v>
      </c>
      <c r="G35" s="7">
        <v>2021</v>
      </c>
      <c r="H35" s="7" t="str">
        <f>CONCATENATE("14240203316")</f>
        <v>14240203316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CONCATENATE("NGLRRT54H07H501P")</f>
        <v>NGLRRT54H07H501P</v>
      </c>
      <c r="N35" s="7" t="s">
        <v>83</v>
      </c>
      <c r="O35" s="7" t="s">
        <v>73</v>
      </c>
      <c r="P35" s="8">
        <v>44700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12026.46</v>
      </c>
      <c r="W35" s="9">
        <v>5185.8100000000004</v>
      </c>
      <c r="X35" s="9">
        <v>4788.9399999999996</v>
      </c>
      <c r="Y35" s="7">
        <v>0</v>
      </c>
      <c r="Z35" s="9">
        <v>2051.71</v>
      </c>
    </row>
    <row r="36" spans="1:26" x14ac:dyDescent="0.35">
      <c r="A36" s="7" t="s">
        <v>27</v>
      </c>
      <c r="B36" s="7" t="s">
        <v>36</v>
      </c>
      <c r="C36" s="7" t="s">
        <v>47</v>
      </c>
      <c r="D36" s="7" t="s">
        <v>48</v>
      </c>
      <c r="E36" s="7" t="s">
        <v>29</v>
      </c>
      <c r="F36" s="7" t="s">
        <v>84</v>
      </c>
      <c r="G36" s="7">
        <v>2021</v>
      </c>
      <c r="H36" s="7" t="str">
        <f>CONCATENATE("14240722588")</f>
        <v>14240722588</v>
      </c>
      <c r="I36" s="7" t="s">
        <v>40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CONCATENATE("LSSDNC80P19D653D")</f>
        <v>LSSDNC80P19D653D</v>
      </c>
      <c r="N36" s="7" t="s">
        <v>85</v>
      </c>
      <c r="O36" s="7" t="s">
        <v>73</v>
      </c>
      <c r="P36" s="8">
        <v>44700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4512.5600000000004</v>
      </c>
      <c r="W36" s="9">
        <v>1945.82</v>
      </c>
      <c r="X36" s="9">
        <v>1796.9</v>
      </c>
      <c r="Y36" s="7">
        <v>0</v>
      </c>
      <c r="Z36" s="7">
        <v>769.84</v>
      </c>
    </row>
    <row r="37" spans="1:26" x14ac:dyDescent="0.35">
      <c r="A37" s="7" t="s">
        <v>27</v>
      </c>
      <c r="B37" s="7" t="s">
        <v>36</v>
      </c>
      <c r="C37" s="7" t="s">
        <v>47</v>
      </c>
      <c r="D37" s="7" t="s">
        <v>51</v>
      </c>
      <c r="E37" s="7" t="s">
        <v>38</v>
      </c>
      <c r="F37" s="7" t="s">
        <v>86</v>
      </c>
      <c r="G37" s="7">
        <v>2021</v>
      </c>
      <c r="H37" s="7" t="str">
        <f>CONCATENATE("14240708413")</f>
        <v>14240708413</v>
      </c>
      <c r="I37" s="7" t="s">
        <v>40</v>
      </c>
      <c r="J37" s="7" t="s">
        <v>31</v>
      </c>
      <c r="K37" s="7" t="str">
        <f>CONCATENATE("")</f>
        <v/>
      </c>
      <c r="L37" s="7" t="str">
        <f>CONCATENATE("11 11.1 4b")</f>
        <v>11 11.1 4b</v>
      </c>
      <c r="M37" s="7" t="str">
        <f>CONCATENATE("GRGMCL49R06D749F")</f>
        <v>GRGMCL49R06D749F</v>
      </c>
      <c r="N37" s="7" t="s">
        <v>87</v>
      </c>
      <c r="O37" s="7" t="s">
        <v>73</v>
      </c>
      <c r="P37" s="8">
        <v>44700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7">
        <v>310.58999999999997</v>
      </c>
      <c r="W37" s="7">
        <v>133.93</v>
      </c>
      <c r="X37" s="7">
        <v>123.68</v>
      </c>
      <c r="Y37" s="7">
        <v>0</v>
      </c>
      <c r="Z37" s="7">
        <v>52.98</v>
      </c>
    </row>
    <row r="38" spans="1:26" x14ac:dyDescent="0.35">
      <c r="A38" s="7" t="s">
        <v>27</v>
      </c>
      <c r="B38" s="7" t="s">
        <v>36</v>
      </c>
      <c r="C38" s="7" t="s">
        <v>47</v>
      </c>
      <c r="D38" s="7" t="s">
        <v>48</v>
      </c>
      <c r="E38" s="7" t="s">
        <v>37</v>
      </c>
      <c r="F38" s="7" t="s">
        <v>74</v>
      </c>
      <c r="G38" s="7">
        <v>2021</v>
      </c>
      <c r="H38" s="7" t="str">
        <f>CONCATENATE("14240552993")</f>
        <v>14240552993</v>
      </c>
      <c r="I38" s="7" t="s">
        <v>40</v>
      </c>
      <c r="J38" s="7" t="s">
        <v>31</v>
      </c>
      <c r="K38" s="7" t="str">
        <f>CONCATENATE("")</f>
        <v/>
      </c>
      <c r="L38" s="7" t="str">
        <f>CONCATENATE("11 11.2 4b")</f>
        <v>11 11.2 4b</v>
      </c>
      <c r="M38" s="7" t="str">
        <f>CONCATENATE("PNTSTD94A05B474A")</f>
        <v>PNTSTD94A05B474A</v>
      </c>
      <c r="N38" s="7" t="s">
        <v>88</v>
      </c>
      <c r="O38" s="7" t="s">
        <v>73</v>
      </c>
      <c r="P38" s="8">
        <v>44700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7">
        <v>507.24</v>
      </c>
      <c r="W38" s="7">
        <v>218.72</v>
      </c>
      <c r="X38" s="7">
        <v>201.98</v>
      </c>
      <c r="Y38" s="7">
        <v>0</v>
      </c>
      <c r="Z38" s="7">
        <v>86.54</v>
      </c>
    </row>
    <row r="39" spans="1:26" x14ac:dyDescent="0.35">
      <c r="A39" s="7" t="s">
        <v>27</v>
      </c>
      <c r="B39" s="7" t="s">
        <v>36</v>
      </c>
      <c r="C39" s="7" t="s">
        <v>47</v>
      </c>
      <c r="D39" s="7" t="s">
        <v>62</v>
      </c>
      <c r="E39" s="7" t="s">
        <v>39</v>
      </c>
      <c r="F39" s="7" t="s">
        <v>89</v>
      </c>
      <c r="G39" s="7">
        <v>2021</v>
      </c>
      <c r="H39" s="7" t="str">
        <f>CONCATENATE("14240811506")</f>
        <v>14240811506</v>
      </c>
      <c r="I39" s="7" t="s">
        <v>30</v>
      </c>
      <c r="J39" s="7" t="s">
        <v>31</v>
      </c>
      <c r="K39" s="7" t="str">
        <f>CONCATENATE("")</f>
        <v/>
      </c>
      <c r="L39" s="7" t="str">
        <f>CONCATENATE("11 11.2 4b")</f>
        <v>11 11.2 4b</v>
      </c>
      <c r="M39" s="7" t="str">
        <f>CONCATENATE("STRSVN52B65D451B")</f>
        <v>STRSVN52B65D451B</v>
      </c>
      <c r="N39" s="7" t="s">
        <v>90</v>
      </c>
      <c r="O39" s="7" t="s">
        <v>73</v>
      </c>
      <c r="P39" s="8">
        <v>44700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1262.5899999999999</v>
      </c>
      <c r="W39" s="7">
        <v>544.42999999999995</v>
      </c>
      <c r="X39" s="7">
        <v>502.76</v>
      </c>
      <c r="Y39" s="7">
        <v>0</v>
      </c>
      <c r="Z39" s="7">
        <v>215.4</v>
      </c>
    </row>
    <row r="40" spans="1:26" x14ac:dyDescent="0.35">
      <c r="A40" s="7" t="s">
        <v>27</v>
      </c>
      <c r="B40" s="7" t="s">
        <v>36</v>
      </c>
      <c r="C40" s="7" t="s">
        <v>47</v>
      </c>
      <c r="D40" s="7" t="s">
        <v>62</v>
      </c>
      <c r="E40" s="7" t="s">
        <v>38</v>
      </c>
      <c r="F40" s="7" t="s">
        <v>91</v>
      </c>
      <c r="G40" s="7">
        <v>2021</v>
      </c>
      <c r="H40" s="7" t="str">
        <f>CONCATENATE("14240219924")</f>
        <v>14240219924</v>
      </c>
      <c r="I40" s="7" t="s">
        <v>30</v>
      </c>
      <c r="J40" s="7" t="s">
        <v>31</v>
      </c>
      <c r="K40" s="7" t="str">
        <f>CONCATENATE("")</f>
        <v/>
      </c>
      <c r="L40" s="7" t="str">
        <f>CONCATENATE("11 11.2 4b")</f>
        <v>11 11.2 4b</v>
      </c>
      <c r="M40" s="7" t="str">
        <f>CONCATENATE("PLNRFL66B43A271P")</f>
        <v>PLNRFL66B43A271P</v>
      </c>
      <c r="N40" s="7" t="s">
        <v>92</v>
      </c>
      <c r="O40" s="7" t="s">
        <v>73</v>
      </c>
      <c r="P40" s="8">
        <v>44700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7">
        <v>826.45</v>
      </c>
      <c r="W40" s="7">
        <v>356.37</v>
      </c>
      <c r="X40" s="7">
        <v>329.09</v>
      </c>
      <c r="Y40" s="7">
        <v>0</v>
      </c>
      <c r="Z40" s="7">
        <v>140.99</v>
      </c>
    </row>
    <row r="41" spans="1:26" x14ac:dyDescent="0.35">
      <c r="A41" s="7" t="s">
        <v>27</v>
      </c>
      <c r="B41" s="7" t="s">
        <v>36</v>
      </c>
      <c r="C41" s="7" t="s">
        <v>47</v>
      </c>
      <c r="D41" s="7" t="s">
        <v>51</v>
      </c>
      <c r="E41" s="7" t="s">
        <v>43</v>
      </c>
      <c r="F41" s="7" t="s">
        <v>43</v>
      </c>
      <c r="G41" s="7">
        <v>2021</v>
      </c>
      <c r="H41" s="7" t="str">
        <f>CONCATENATE("14240733551")</f>
        <v>14240733551</v>
      </c>
      <c r="I41" s="7" t="s">
        <v>40</v>
      </c>
      <c r="J41" s="7" t="s">
        <v>31</v>
      </c>
      <c r="K41" s="7" t="str">
        <f>CONCATENATE("")</f>
        <v/>
      </c>
      <c r="L41" s="7" t="str">
        <f>CONCATENATE("11 11.2 4b")</f>
        <v>11 11.2 4b</v>
      </c>
      <c r="M41" s="7" t="str">
        <f>CONCATENATE("02035550413")</f>
        <v>02035550413</v>
      </c>
      <c r="N41" s="7" t="s">
        <v>93</v>
      </c>
      <c r="O41" s="7" t="s">
        <v>73</v>
      </c>
      <c r="P41" s="8">
        <v>44700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1968.63</v>
      </c>
      <c r="W41" s="7">
        <v>848.87</v>
      </c>
      <c r="X41" s="7">
        <v>783.91</v>
      </c>
      <c r="Y41" s="7">
        <v>0</v>
      </c>
      <c r="Z41" s="7">
        <v>335.85</v>
      </c>
    </row>
    <row r="42" spans="1:26" x14ac:dyDescent="0.35">
      <c r="A42" s="7" t="s">
        <v>27</v>
      </c>
      <c r="B42" s="7" t="s">
        <v>36</v>
      </c>
      <c r="C42" s="7" t="s">
        <v>47</v>
      </c>
      <c r="D42" s="7" t="s">
        <v>51</v>
      </c>
      <c r="E42" s="7" t="s">
        <v>43</v>
      </c>
      <c r="F42" s="7" t="s">
        <v>43</v>
      </c>
      <c r="G42" s="7">
        <v>2021</v>
      </c>
      <c r="H42" s="7" t="str">
        <f>CONCATENATE("14240745290")</f>
        <v>14240745290</v>
      </c>
      <c r="I42" s="7" t="s">
        <v>40</v>
      </c>
      <c r="J42" s="7" t="s">
        <v>31</v>
      </c>
      <c r="K42" s="7" t="str">
        <f>CONCATENATE("")</f>
        <v/>
      </c>
      <c r="L42" s="7" t="str">
        <f>CONCATENATE("11 11.2 4b")</f>
        <v>11 11.2 4b</v>
      </c>
      <c r="M42" s="7" t="str">
        <f>CONCATENATE("02035550413")</f>
        <v>02035550413</v>
      </c>
      <c r="N42" s="7" t="s">
        <v>93</v>
      </c>
      <c r="O42" s="7" t="s">
        <v>73</v>
      </c>
      <c r="P42" s="8">
        <v>44700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7">
        <v>608.88</v>
      </c>
      <c r="W42" s="7">
        <v>262.55</v>
      </c>
      <c r="X42" s="7">
        <v>242.46</v>
      </c>
      <c r="Y42" s="7">
        <v>0</v>
      </c>
      <c r="Z42" s="7">
        <v>103.87</v>
      </c>
    </row>
    <row r="43" spans="1:26" x14ac:dyDescent="0.35">
      <c r="A43" s="7" t="s">
        <v>27</v>
      </c>
      <c r="B43" s="7" t="s">
        <v>36</v>
      </c>
      <c r="C43" s="7" t="s">
        <v>47</v>
      </c>
      <c r="D43" s="7" t="s">
        <v>94</v>
      </c>
      <c r="E43" s="7" t="s">
        <v>41</v>
      </c>
      <c r="F43" s="7" t="s">
        <v>95</v>
      </c>
      <c r="G43" s="7">
        <v>2021</v>
      </c>
      <c r="H43" s="7" t="str">
        <f>CONCATENATE("14240459553")</f>
        <v>14240459553</v>
      </c>
      <c r="I43" s="7" t="s">
        <v>30</v>
      </c>
      <c r="J43" s="7" t="s">
        <v>31</v>
      </c>
      <c r="K43" s="7" t="str">
        <f>CONCATENATE("")</f>
        <v/>
      </c>
      <c r="L43" s="7" t="str">
        <f>CONCATENATE("11 11.2 4b")</f>
        <v>11 11.2 4b</v>
      </c>
      <c r="M43" s="7" t="str">
        <f>CONCATENATE("FRVVNT84A13A462W")</f>
        <v>FRVVNT84A13A462W</v>
      </c>
      <c r="N43" s="7" t="s">
        <v>96</v>
      </c>
      <c r="O43" s="7" t="s">
        <v>73</v>
      </c>
      <c r="P43" s="8">
        <v>44700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9375.0499999999993</v>
      </c>
      <c r="W43" s="9">
        <v>4042.52</v>
      </c>
      <c r="X43" s="9">
        <v>3733.14</v>
      </c>
      <c r="Y43" s="7">
        <v>0</v>
      </c>
      <c r="Z43" s="9">
        <v>1599.39</v>
      </c>
    </row>
    <row r="44" spans="1:26" x14ac:dyDescent="0.35">
      <c r="A44" s="7" t="s">
        <v>27</v>
      </c>
      <c r="B44" s="7" t="s">
        <v>36</v>
      </c>
      <c r="C44" s="7" t="s">
        <v>47</v>
      </c>
      <c r="D44" s="7" t="s">
        <v>94</v>
      </c>
      <c r="E44" s="7" t="s">
        <v>38</v>
      </c>
      <c r="F44" s="7" t="s">
        <v>81</v>
      </c>
      <c r="G44" s="7">
        <v>2021</v>
      </c>
      <c r="H44" s="7" t="str">
        <f>CONCATENATE("14241219881")</f>
        <v>14241219881</v>
      </c>
      <c r="I44" s="7" t="s">
        <v>30</v>
      </c>
      <c r="J44" s="7" t="s">
        <v>31</v>
      </c>
      <c r="K44" s="7" t="str">
        <f>CONCATENATE("")</f>
        <v/>
      </c>
      <c r="L44" s="7" t="str">
        <f>CONCATENATE("11 11.2 4b")</f>
        <v>11 11.2 4b</v>
      </c>
      <c r="M44" s="7" t="str">
        <f>CONCATENATE("NRERRT88M03H769L")</f>
        <v>NRERRT88M03H769L</v>
      </c>
      <c r="N44" s="7" t="s">
        <v>97</v>
      </c>
      <c r="O44" s="7" t="s">
        <v>73</v>
      </c>
      <c r="P44" s="8">
        <v>44700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7">
        <v>889.21</v>
      </c>
      <c r="W44" s="7">
        <v>383.43</v>
      </c>
      <c r="X44" s="7">
        <v>354.08</v>
      </c>
      <c r="Y44" s="7">
        <v>0</v>
      </c>
      <c r="Z44" s="7">
        <v>151.69999999999999</v>
      </c>
    </row>
    <row r="45" spans="1:26" x14ac:dyDescent="0.35">
      <c r="A45" s="7" t="s">
        <v>27</v>
      </c>
      <c r="B45" s="7" t="s">
        <v>36</v>
      </c>
      <c r="C45" s="7" t="s">
        <v>47</v>
      </c>
      <c r="D45" s="7" t="s">
        <v>48</v>
      </c>
      <c r="E45" s="7" t="s">
        <v>46</v>
      </c>
      <c r="F45" s="7" t="s">
        <v>98</v>
      </c>
      <c r="G45" s="7">
        <v>2021</v>
      </c>
      <c r="H45" s="7" t="str">
        <f>CONCATENATE("14241738534")</f>
        <v>14241738534</v>
      </c>
      <c r="I45" s="7" t="s">
        <v>30</v>
      </c>
      <c r="J45" s="7" t="s">
        <v>31</v>
      </c>
      <c r="K45" s="7" t="str">
        <f>CONCATENATE("")</f>
        <v/>
      </c>
      <c r="L45" s="7" t="str">
        <f>CONCATENATE("11 11.2 4b")</f>
        <v>11 11.2 4b</v>
      </c>
      <c r="M45" s="7" t="str">
        <f>CONCATENATE("01985330438")</f>
        <v>01985330438</v>
      </c>
      <c r="N45" s="7" t="s">
        <v>99</v>
      </c>
      <c r="O45" s="7" t="s">
        <v>73</v>
      </c>
      <c r="P45" s="8">
        <v>44700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1958.4</v>
      </c>
      <c r="W45" s="7">
        <v>844.46</v>
      </c>
      <c r="X45" s="7">
        <v>779.83</v>
      </c>
      <c r="Y45" s="7">
        <v>0</v>
      </c>
      <c r="Z45" s="7">
        <v>334.11</v>
      </c>
    </row>
    <row r="46" spans="1:26" x14ac:dyDescent="0.35">
      <c r="A46" s="7" t="s">
        <v>27</v>
      </c>
      <c r="B46" s="7" t="s">
        <v>36</v>
      </c>
      <c r="C46" s="7" t="s">
        <v>47</v>
      </c>
      <c r="D46" s="7" t="s">
        <v>48</v>
      </c>
      <c r="E46" s="7" t="s">
        <v>46</v>
      </c>
      <c r="F46" s="7" t="s">
        <v>98</v>
      </c>
      <c r="G46" s="7">
        <v>2021</v>
      </c>
      <c r="H46" s="7" t="str">
        <f>CONCATENATE("14241738526")</f>
        <v>14241738526</v>
      </c>
      <c r="I46" s="7" t="s">
        <v>30</v>
      </c>
      <c r="J46" s="7" t="s">
        <v>31</v>
      </c>
      <c r="K46" s="7" t="str">
        <f>CONCATENATE("")</f>
        <v/>
      </c>
      <c r="L46" s="7" t="str">
        <f>CONCATENATE("11 11.2 4b")</f>
        <v>11 11.2 4b</v>
      </c>
      <c r="M46" s="7" t="str">
        <f>CONCATENATE("01985330438")</f>
        <v>01985330438</v>
      </c>
      <c r="N46" s="7" t="s">
        <v>99</v>
      </c>
      <c r="O46" s="7" t="s">
        <v>73</v>
      </c>
      <c r="P46" s="8">
        <v>44700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3610.98</v>
      </c>
      <c r="W46" s="9">
        <v>1557.05</v>
      </c>
      <c r="X46" s="9">
        <v>1437.89</v>
      </c>
      <c r="Y46" s="7">
        <v>0</v>
      </c>
      <c r="Z46" s="7">
        <v>616.04</v>
      </c>
    </row>
    <row r="47" spans="1:26" x14ac:dyDescent="0.35">
      <c r="A47" s="7" t="s">
        <v>27</v>
      </c>
      <c r="B47" s="7" t="s">
        <v>36</v>
      </c>
      <c r="C47" s="7" t="s">
        <v>47</v>
      </c>
      <c r="D47" s="7" t="s">
        <v>62</v>
      </c>
      <c r="E47" s="7" t="s">
        <v>38</v>
      </c>
      <c r="F47" s="7" t="s">
        <v>91</v>
      </c>
      <c r="G47" s="7">
        <v>2021</v>
      </c>
      <c r="H47" s="7" t="str">
        <f>CONCATENATE("14241290700")</f>
        <v>14241290700</v>
      </c>
      <c r="I47" s="7" t="s">
        <v>30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CONCATENATE("00971470422")</f>
        <v>00971470422</v>
      </c>
      <c r="N47" s="7" t="s">
        <v>100</v>
      </c>
      <c r="O47" s="7" t="s">
        <v>73</v>
      </c>
      <c r="P47" s="8">
        <v>44700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7">
        <v>220.71</v>
      </c>
      <c r="W47" s="7">
        <v>95.17</v>
      </c>
      <c r="X47" s="7">
        <v>87.89</v>
      </c>
      <c r="Y47" s="7">
        <v>0</v>
      </c>
      <c r="Z47" s="7">
        <v>37.65</v>
      </c>
    </row>
    <row r="48" spans="1:26" x14ac:dyDescent="0.35">
      <c r="A48" s="7" t="s">
        <v>27</v>
      </c>
      <c r="B48" s="7" t="s">
        <v>36</v>
      </c>
      <c r="C48" s="7" t="s">
        <v>47</v>
      </c>
      <c r="D48" s="7" t="s">
        <v>48</v>
      </c>
      <c r="E48" s="7" t="s">
        <v>43</v>
      </c>
      <c r="F48" s="7" t="s">
        <v>43</v>
      </c>
      <c r="G48" s="7">
        <v>2021</v>
      </c>
      <c r="H48" s="7" t="str">
        <f>CONCATENATE("14241332684")</f>
        <v>14241332684</v>
      </c>
      <c r="I48" s="7" t="s">
        <v>30</v>
      </c>
      <c r="J48" s="7" t="s">
        <v>31</v>
      </c>
      <c r="K48" s="7" t="str">
        <f>CONCATENATE("")</f>
        <v/>
      </c>
      <c r="L48" s="7" t="str">
        <f>CONCATENATE("11 11.2 4b")</f>
        <v>11 11.2 4b</v>
      </c>
      <c r="M48" s="7" t="str">
        <f>CONCATENATE("01990480434")</f>
        <v>01990480434</v>
      </c>
      <c r="N48" s="7" t="s">
        <v>101</v>
      </c>
      <c r="O48" s="7" t="s">
        <v>73</v>
      </c>
      <c r="P48" s="8">
        <v>44700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3994.91</v>
      </c>
      <c r="W48" s="9">
        <v>1722.61</v>
      </c>
      <c r="X48" s="9">
        <v>1590.77</v>
      </c>
      <c r="Y48" s="7">
        <v>0</v>
      </c>
      <c r="Z48" s="7">
        <v>681.53</v>
      </c>
    </row>
    <row r="49" spans="1:26" x14ac:dyDescent="0.35">
      <c r="A49" s="7" t="s">
        <v>27</v>
      </c>
      <c r="B49" s="7" t="s">
        <v>36</v>
      </c>
      <c r="C49" s="7" t="s">
        <v>47</v>
      </c>
      <c r="D49" s="7" t="s">
        <v>51</v>
      </c>
      <c r="E49" s="7" t="s">
        <v>41</v>
      </c>
      <c r="F49" s="7" t="s">
        <v>102</v>
      </c>
      <c r="G49" s="7">
        <v>2021</v>
      </c>
      <c r="H49" s="7" t="str">
        <f>CONCATENATE("14240879297")</f>
        <v>14240879297</v>
      </c>
      <c r="I49" s="7" t="s">
        <v>40</v>
      </c>
      <c r="J49" s="7" t="s">
        <v>31</v>
      </c>
      <c r="K49" s="7" t="str">
        <f>CONCATENATE("")</f>
        <v/>
      </c>
      <c r="L49" s="7" t="str">
        <f>CONCATENATE("11 11.2 4b")</f>
        <v>11 11.2 4b</v>
      </c>
      <c r="M49" s="7" t="str">
        <f>CONCATENATE("FRLDGI96B06D749R")</f>
        <v>FRLDGI96B06D749R</v>
      </c>
      <c r="N49" s="7" t="s">
        <v>103</v>
      </c>
      <c r="O49" s="7" t="s">
        <v>73</v>
      </c>
      <c r="P49" s="8">
        <v>44700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7">
        <v>427</v>
      </c>
      <c r="W49" s="7">
        <v>184.12</v>
      </c>
      <c r="X49" s="7">
        <v>170.03</v>
      </c>
      <c r="Y49" s="7">
        <v>0</v>
      </c>
      <c r="Z49" s="7">
        <v>72.849999999999994</v>
      </c>
    </row>
    <row r="50" spans="1:26" x14ac:dyDescent="0.35">
      <c r="A50" s="7" t="s">
        <v>27</v>
      </c>
      <c r="B50" s="7" t="s">
        <v>36</v>
      </c>
      <c r="C50" s="7" t="s">
        <v>47</v>
      </c>
      <c r="D50" s="7" t="s">
        <v>51</v>
      </c>
      <c r="E50" s="7" t="s">
        <v>41</v>
      </c>
      <c r="F50" s="7" t="s">
        <v>102</v>
      </c>
      <c r="G50" s="7">
        <v>2021</v>
      </c>
      <c r="H50" s="7" t="str">
        <f>CONCATENATE("14240887605")</f>
        <v>14240887605</v>
      </c>
      <c r="I50" s="7" t="s">
        <v>40</v>
      </c>
      <c r="J50" s="7" t="s">
        <v>31</v>
      </c>
      <c r="K50" s="7" t="str">
        <f>CONCATENATE("")</f>
        <v/>
      </c>
      <c r="L50" s="7" t="str">
        <f>CONCATENATE("11 11.2 4b")</f>
        <v>11 11.2 4b</v>
      </c>
      <c r="M50" s="7" t="str">
        <f>CONCATENATE("FRLDGI96B06D749R")</f>
        <v>FRLDGI96B06D749R</v>
      </c>
      <c r="N50" s="7" t="s">
        <v>103</v>
      </c>
      <c r="O50" s="7" t="s">
        <v>73</v>
      </c>
      <c r="P50" s="8">
        <v>44700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7">
        <v>733.64</v>
      </c>
      <c r="W50" s="7">
        <v>316.35000000000002</v>
      </c>
      <c r="X50" s="7">
        <v>292.14</v>
      </c>
      <c r="Y50" s="7">
        <v>0</v>
      </c>
      <c r="Z50" s="7">
        <v>125.15</v>
      </c>
    </row>
    <row r="51" spans="1:26" x14ac:dyDescent="0.35">
      <c r="A51" s="7" t="s">
        <v>27</v>
      </c>
      <c r="B51" s="7" t="s">
        <v>36</v>
      </c>
      <c r="C51" s="7" t="s">
        <v>47</v>
      </c>
      <c r="D51" s="7" t="s">
        <v>51</v>
      </c>
      <c r="E51" s="7" t="s">
        <v>41</v>
      </c>
      <c r="F51" s="7" t="s">
        <v>102</v>
      </c>
      <c r="G51" s="7">
        <v>2021</v>
      </c>
      <c r="H51" s="7" t="str">
        <f>CONCATENATE("14240874611")</f>
        <v>14240874611</v>
      </c>
      <c r="I51" s="7" t="s">
        <v>40</v>
      </c>
      <c r="J51" s="7" t="s">
        <v>31</v>
      </c>
      <c r="K51" s="7" t="str">
        <f>CONCATENATE("")</f>
        <v/>
      </c>
      <c r="L51" s="7" t="str">
        <f>CONCATENATE("11 11.2 4b")</f>
        <v>11 11.2 4b</v>
      </c>
      <c r="M51" s="7" t="str">
        <f>CONCATENATE("FRLDGI96B06D749R")</f>
        <v>FRLDGI96B06D749R</v>
      </c>
      <c r="N51" s="7" t="s">
        <v>103</v>
      </c>
      <c r="O51" s="7" t="s">
        <v>73</v>
      </c>
      <c r="P51" s="8">
        <v>44700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7">
        <v>389.45</v>
      </c>
      <c r="W51" s="7">
        <v>167.93</v>
      </c>
      <c r="X51" s="7">
        <v>155.08000000000001</v>
      </c>
      <c r="Y51" s="7">
        <v>0</v>
      </c>
      <c r="Z51" s="7">
        <v>66.44</v>
      </c>
    </row>
    <row r="52" spans="1:26" x14ac:dyDescent="0.35">
      <c r="A52" s="7" t="s">
        <v>27</v>
      </c>
      <c r="B52" s="7" t="s">
        <v>36</v>
      </c>
      <c r="C52" s="7" t="s">
        <v>47</v>
      </c>
      <c r="D52" s="7" t="s">
        <v>51</v>
      </c>
      <c r="E52" s="7" t="s">
        <v>41</v>
      </c>
      <c r="F52" s="7" t="s">
        <v>102</v>
      </c>
      <c r="G52" s="7">
        <v>2021</v>
      </c>
      <c r="H52" s="7" t="str">
        <f>CONCATENATE("14240890674")</f>
        <v>14240890674</v>
      </c>
      <c r="I52" s="7" t="s">
        <v>40</v>
      </c>
      <c r="J52" s="7" t="s">
        <v>31</v>
      </c>
      <c r="K52" s="7" t="str">
        <f>CONCATENATE("")</f>
        <v/>
      </c>
      <c r="L52" s="7" t="str">
        <f>CONCATENATE("11 11.1 4b")</f>
        <v>11 11.1 4b</v>
      </c>
      <c r="M52" s="7" t="str">
        <f>CONCATENATE("FRLDGI96B06D749R")</f>
        <v>FRLDGI96B06D749R</v>
      </c>
      <c r="N52" s="7" t="s">
        <v>103</v>
      </c>
      <c r="O52" s="7" t="s">
        <v>73</v>
      </c>
      <c r="P52" s="8">
        <v>44700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647.20000000000005</v>
      </c>
      <c r="W52" s="7">
        <v>279.07</v>
      </c>
      <c r="X52" s="7">
        <v>257.72000000000003</v>
      </c>
      <c r="Y52" s="7">
        <v>0</v>
      </c>
      <c r="Z52" s="7">
        <v>110.41</v>
      </c>
    </row>
    <row r="53" spans="1:26" x14ac:dyDescent="0.35">
      <c r="A53" s="7" t="s">
        <v>27</v>
      </c>
      <c r="B53" s="7" t="s">
        <v>36</v>
      </c>
      <c r="C53" s="7" t="s">
        <v>47</v>
      </c>
      <c r="D53" s="7" t="s">
        <v>48</v>
      </c>
      <c r="E53" s="7" t="s">
        <v>38</v>
      </c>
      <c r="F53" s="7" t="s">
        <v>57</v>
      </c>
      <c r="G53" s="7">
        <v>2021</v>
      </c>
      <c r="H53" s="7" t="str">
        <f>CONCATENATE("14241738328")</f>
        <v>14241738328</v>
      </c>
      <c r="I53" s="7" t="s">
        <v>30</v>
      </c>
      <c r="J53" s="7" t="s">
        <v>31</v>
      </c>
      <c r="K53" s="7" t="str">
        <f>CONCATENATE("")</f>
        <v/>
      </c>
      <c r="L53" s="7" t="str">
        <f>CONCATENATE("11 11.2 4b")</f>
        <v>11 11.2 4b</v>
      </c>
      <c r="M53" s="7" t="str">
        <f>CONCATENATE("PZZLCN51P06H876E")</f>
        <v>PZZLCN51P06H876E</v>
      </c>
      <c r="N53" s="7" t="s">
        <v>104</v>
      </c>
      <c r="O53" s="7" t="s">
        <v>73</v>
      </c>
      <c r="P53" s="8">
        <v>44700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1512.75</v>
      </c>
      <c r="W53" s="7">
        <v>652.29999999999995</v>
      </c>
      <c r="X53" s="7">
        <v>602.38</v>
      </c>
      <c r="Y53" s="7">
        <v>0</v>
      </c>
      <c r="Z53" s="7">
        <v>258.07</v>
      </c>
    </row>
    <row r="54" spans="1:26" x14ac:dyDescent="0.35">
      <c r="A54" s="7" t="s">
        <v>27</v>
      </c>
      <c r="B54" s="7" t="s">
        <v>36</v>
      </c>
      <c r="C54" s="7" t="s">
        <v>47</v>
      </c>
      <c r="D54" s="7" t="s">
        <v>48</v>
      </c>
      <c r="E54" s="7" t="s">
        <v>43</v>
      </c>
      <c r="F54" s="7" t="s">
        <v>43</v>
      </c>
      <c r="G54" s="7">
        <v>2021</v>
      </c>
      <c r="H54" s="7" t="str">
        <f>CONCATENATE("14241332478")</f>
        <v>14241332478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11.2 4b")</f>
        <v>11 11.2 4b</v>
      </c>
      <c r="M54" s="7" t="str">
        <f>CONCATENATE("01990480434")</f>
        <v>01990480434</v>
      </c>
      <c r="N54" s="7" t="s">
        <v>101</v>
      </c>
      <c r="O54" s="7" t="s">
        <v>73</v>
      </c>
      <c r="P54" s="8">
        <v>44700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4893.43</v>
      </c>
      <c r="W54" s="9">
        <v>2110.0500000000002</v>
      </c>
      <c r="X54" s="9">
        <v>1948.56</v>
      </c>
      <c r="Y54" s="7">
        <v>0</v>
      </c>
      <c r="Z54" s="7">
        <v>834.82</v>
      </c>
    </row>
    <row r="55" spans="1:26" x14ac:dyDescent="0.35">
      <c r="A55" s="7" t="s">
        <v>27</v>
      </c>
      <c r="B55" s="7" t="s">
        <v>36</v>
      </c>
      <c r="C55" s="7" t="s">
        <v>47</v>
      </c>
      <c r="D55" s="7" t="s">
        <v>48</v>
      </c>
      <c r="E55" s="7" t="s">
        <v>29</v>
      </c>
      <c r="F55" s="7" t="s">
        <v>105</v>
      </c>
      <c r="G55" s="7">
        <v>2021</v>
      </c>
      <c r="H55" s="7" t="str">
        <f>CONCATENATE("14241359281")</f>
        <v>14241359281</v>
      </c>
      <c r="I55" s="7" t="s">
        <v>30</v>
      </c>
      <c r="J55" s="7" t="s">
        <v>31</v>
      </c>
      <c r="K55" s="7" t="str">
        <f>CONCATENATE("")</f>
        <v/>
      </c>
      <c r="L55" s="7" t="str">
        <f>CONCATENATE("11 11.1 4b")</f>
        <v>11 11.1 4b</v>
      </c>
      <c r="M55" s="7" t="str">
        <f>CONCATENATE("MSSMNL74M30E783O")</f>
        <v>MSSMNL74M30E783O</v>
      </c>
      <c r="N55" s="7" t="s">
        <v>106</v>
      </c>
      <c r="O55" s="7" t="s">
        <v>73</v>
      </c>
      <c r="P55" s="8">
        <v>44700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5325.98</v>
      </c>
      <c r="W55" s="9">
        <v>2296.56</v>
      </c>
      <c r="X55" s="9">
        <v>2120.81</v>
      </c>
      <c r="Y55" s="7">
        <v>0</v>
      </c>
      <c r="Z55" s="7">
        <v>908.61</v>
      </c>
    </row>
    <row r="56" spans="1:26" x14ac:dyDescent="0.35">
      <c r="A56" s="7" t="s">
        <v>27</v>
      </c>
      <c r="B56" s="7" t="s">
        <v>36</v>
      </c>
      <c r="C56" s="7" t="s">
        <v>47</v>
      </c>
      <c r="D56" s="7" t="s">
        <v>94</v>
      </c>
      <c r="E56" s="7" t="s">
        <v>42</v>
      </c>
      <c r="F56" s="7" t="s">
        <v>107</v>
      </c>
      <c r="G56" s="7">
        <v>2021</v>
      </c>
      <c r="H56" s="7" t="str">
        <f>CONCATENATE("14240826710")</f>
        <v>14240826710</v>
      </c>
      <c r="I56" s="7" t="s">
        <v>30</v>
      </c>
      <c r="J56" s="7" t="s">
        <v>31</v>
      </c>
      <c r="K56" s="7" t="str">
        <f>CONCATENATE("")</f>
        <v/>
      </c>
      <c r="L56" s="7" t="str">
        <f>CONCATENATE("14 14.1 3a")</f>
        <v>14 14.1 3a</v>
      </c>
      <c r="M56" s="7" t="str">
        <f>CONCATENATE("CNLMRA85L12D542X")</f>
        <v>CNLMRA85L12D542X</v>
      </c>
      <c r="N56" s="7" t="s">
        <v>108</v>
      </c>
      <c r="O56" s="7" t="s">
        <v>109</v>
      </c>
      <c r="P56" s="8">
        <v>44701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3200</v>
      </c>
      <c r="W56" s="9">
        <v>1379.84</v>
      </c>
      <c r="X56" s="9">
        <v>1274.24</v>
      </c>
      <c r="Y56" s="7">
        <v>0</v>
      </c>
      <c r="Z56" s="7">
        <v>545.91999999999996</v>
      </c>
    </row>
    <row r="57" spans="1:26" ht="17.5" x14ac:dyDescent="0.35">
      <c r="A57" s="7" t="s">
        <v>27</v>
      </c>
      <c r="B57" s="7" t="s">
        <v>36</v>
      </c>
      <c r="C57" s="7" t="s">
        <v>47</v>
      </c>
      <c r="D57" s="7" t="s">
        <v>62</v>
      </c>
      <c r="E57" s="7" t="s">
        <v>37</v>
      </c>
      <c r="F57" s="7" t="s">
        <v>110</v>
      </c>
      <c r="G57" s="7">
        <v>2021</v>
      </c>
      <c r="H57" s="7" t="str">
        <f>CONCATENATE("14240944984")</f>
        <v>14240944984</v>
      </c>
      <c r="I57" s="7" t="s">
        <v>30</v>
      </c>
      <c r="J57" s="7" t="s">
        <v>31</v>
      </c>
      <c r="K57" s="7" t="str">
        <f>CONCATENATE("")</f>
        <v/>
      </c>
      <c r="L57" s="7" t="str">
        <f>CONCATENATE("14 14.1 3a")</f>
        <v>14 14.1 3a</v>
      </c>
      <c r="M57" s="7" t="str">
        <f>CONCATENATE("02389100427")</f>
        <v>02389100427</v>
      </c>
      <c r="N57" s="7" t="s">
        <v>111</v>
      </c>
      <c r="O57" s="7" t="s">
        <v>109</v>
      </c>
      <c r="P57" s="8">
        <v>44701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33100</v>
      </c>
      <c r="W57" s="9">
        <v>14272.72</v>
      </c>
      <c r="X57" s="9">
        <v>13180.42</v>
      </c>
      <c r="Y57" s="7">
        <v>0</v>
      </c>
      <c r="Z57" s="9">
        <v>5646.86</v>
      </c>
    </row>
    <row r="58" spans="1:26" x14ac:dyDescent="0.35">
      <c r="A58" s="7" t="s">
        <v>27</v>
      </c>
      <c r="B58" s="7" t="s">
        <v>36</v>
      </c>
      <c r="C58" s="7" t="s">
        <v>47</v>
      </c>
      <c r="D58" s="7" t="s">
        <v>51</v>
      </c>
      <c r="E58" s="7" t="s">
        <v>42</v>
      </c>
      <c r="F58" s="7" t="s">
        <v>112</v>
      </c>
      <c r="G58" s="7">
        <v>2021</v>
      </c>
      <c r="H58" s="7" t="str">
        <f>CONCATENATE("14241341453")</f>
        <v>14241341453</v>
      </c>
      <c r="I58" s="7" t="s">
        <v>40</v>
      </c>
      <c r="J58" s="7" t="s">
        <v>31</v>
      </c>
      <c r="K58" s="7" t="str">
        <f>CONCATENATE("")</f>
        <v/>
      </c>
      <c r="L58" s="7" t="str">
        <f>CONCATENATE("11 11.2 4b")</f>
        <v>11 11.2 4b</v>
      </c>
      <c r="M58" s="7" t="str">
        <f>CONCATENATE("JNSSTP79E17Z105C")</f>
        <v>JNSSTP79E17Z105C</v>
      </c>
      <c r="N58" s="7" t="s">
        <v>113</v>
      </c>
      <c r="O58" s="7" t="s">
        <v>73</v>
      </c>
      <c r="P58" s="8">
        <v>44700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7">
        <v>305.66000000000003</v>
      </c>
      <c r="W58" s="7">
        <v>131.80000000000001</v>
      </c>
      <c r="X58" s="7">
        <v>121.71</v>
      </c>
      <c r="Y58" s="7">
        <v>0</v>
      </c>
      <c r="Z58" s="7">
        <v>52.15</v>
      </c>
    </row>
    <row r="59" spans="1:26" x14ac:dyDescent="0.35">
      <c r="A59" s="7" t="s">
        <v>27</v>
      </c>
      <c r="B59" s="7" t="s">
        <v>36</v>
      </c>
      <c r="C59" s="7" t="s">
        <v>47</v>
      </c>
      <c r="D59" s="7" t="s">
        <v>48</v>
      </c>
      <c r="E59" s="7" t="s">
        <v>38</v>
      </c>
      <c r="F59" s="7" t="s">
        <v>57</v>
      </c>
      <c r="G59" s="7">
        <v>2021</v>
      </c>
      <c r="H59" s="7" t="str">
        <f>CONCATENATE("14241400739")</f>
        <v>14241400739</v>
      </c>
      <c r="I59" s="7" t="s">
        <v>30</v>
      </c>
      <c r="J59" s="7" t="s">
        <v>31</v>
      </c>
      <c r="K59" s="7" t="str">
        <f>CONCATENATE("")</f>
        <v/>
      </c>
      <c r="L59" s="7" t="str">
        <f>CONCATENATE("11 11.1 4b")</f>
        <v>11 11.1 4b</v>
      </c>
      <c r="M59" s="7" t="str">
        <f>CONCATENATE("01915750432")</f>
        <v>01915750432</v>
      </c>
      <c r="N59" s="7" t="s">
        <v>114</v>
      </c>
      <c r="O59" s="7" t="s">
        <v>73</v>
      </c>
      <c r="P59" s="8">
        <v>44700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9763.02</v>
      </c>
      <c r="W59" s="9">
        <v>4209.8100000000004</v>
      </c>
      <c r="X59" s="9">
        <v>3887.63</v>
      </c>
      <c r="Y59" s="7">
        <v>0</v>
      </c>
      <c r="Z59" s="9">
        <v>1665.58</v>
      </c>
    </row>
    <row r="60" spans="1:26" x14ac:dyDescent="0.35">
      <c r="A60" s="7" t="s">
        <v>27</v>
      </c>
      <c r="B60" s="7" t="s">
        <v>36</v>
      </c>
      <c r="C60" s="7" t="s">
        <v>47</v>
      </c>
      <c r="D60" s="7" t="s">
        <v>48</v>
      </c>
      <c r="E60" s="7" t="s">
        <v>29</v>
      </c>
      <c r="F60" s="7" t="s">
        <v>105</v>
      </c>
      <c r="G60" s="7">
        <v>2021</v>
      </c>
      <c r="H60" s="7" t="str">
        <f>CONCATENATE("14241368274")</f>
        <v>14241368274</v>
      </c>
      <c r="I60" s="7" t="s">
        <v>40</v>
      </c>
      <c r="J60" s="7" t="s">
        <v>31</v>
      </c>
      <c r="K60" s="7" t="str">
        <f>CONCATENATE("")</f>
        <v/>
      </c>
      <c r="L60" s="7" t="str">
        <f>CONCATENATE("11 11.2 4b")</f>
        <v>11 11.2 4b</v>
      </c>
      <c r="M60" s="7" t="str">
        <f>CONCATENATE("BRTGDU85T19B474U")</f>
        <v>BRTGDU85T19B474U</v>
      </c>
      <c r="N60" s="7" t="s">
        <v>115</v>
      </c>
      <c r="O60" s="7" t="s">
        <v>73</v>
      </c>
      <c r="P60" s="8">
        <v>44700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4184.46</v>
      </c>
      <c r="W60" s="9">
        <v>1804.34</v>
      </c>
      <c r="X60" s="9">
        <v>1666.25</v>
      </c>
      <c r="Y60" s="7">
        <v>0</v>
      </c>
      <c r="Z60" s="7">
        <v>713.87</v>
      </c>
    </row>
    <row r="61" spans="1:26" x14ac:dyDescent="0.35">
      <c r="A61" s="7" t="s">
        <v>27</v>
      </c>
      <c r="B61" s="7" t="s">
        <v>36</v>
      </c>
      <c r="C61" s="7" t="s">
        <v>47</v>
      </c>
      <c r="D61" s="7" t="s">
        <v>48</v>
      </c>
      <c r="E61" s="7" t="s">
        <v>38</v>
      </c>
      <c r="F61" s="7" t="s">
        <v>116</v>
      </c>
      <c r="G61" s="7">
        <v>2021</v>
      </c>
      <c r="H61" s="7" t="str">
        <f>CONCATENATE("14241162370")</f>
        <v>14241162370</v>
      </c>
      <c r="I61" s="7" t="s">
        <v>30</v>
      </c>
      <c r="J61" s="7" t="s">
        <v>31</v>
      </c>
      <c r="K61" s="7" t="str">
        <f>CONCATENATE("")</f>
        <v/>
      </c>
      <c r="L61" s="7" t="str">
        <f>CONCATENATE("11 11.2 4b")</f>
        <v>11 11.2 4b</v>
      </c>
      <c r="M61" s="7" t="str">
        <f>CONCATENATE("01110060439")</f>
        <v>01110060439</v>
      </c>
      <c r="N61" s="7" t="s">
        <v>117</v>
      </c>
      <c r="O61" s="7" t="s">
        <v>73</v>
      </c>
      <c r="P61" s="8">
        <v>44700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22755.14</v>
      </c>
      <c r="W61" s="9">
        <v>9812.02</v>
      </c>
      <c r="X61" s="9">
        <v>9061.1</v>
      </c>
      <c r="Y61" s="7">
        <v>0</v>
      </c>
      <c r="Z61" s="9">
        <v>3882.02</v>
      </c>
    </row>
    <row r="62" spans="1:26" x14ac:dyDescent="0.35">
      <c r="A62" s="7" t="s">
        <v>27</v>
      </c>
      <c r="B62" s="7" t="s">
        <v>36</v>
      </c>
      <c r="C62" s="7" t="s">
        <v>47</v>
      </c>
      <c r="D62" s="7" t="s">
        <v>51</v>
      </c>
      <c r="E62" s="7" t="s">
        <v>38</v>
      </c>
      <c r="F62" s="7" t="s">
        <v>118</v>
      </c>
      <c r="G62" s="7">
        <v>2021</v>
      </c>
      <c r="H62" s="7" t="str">
        <f>CONCATENATE("14241114322")</f>
        <v>14241114322</v>
      </c>
      <c r="I62" s="7" t="s">
        <v>40</v>
      </c>
      <c r="J62" s="7" t="s">
        <v>31</v>
      </c>
      <c r="K62" s="7" t="str">
        <f>CONCATENATE("")</f>
        <v/>
      </c>
      <c r="L62" s="7" t="str">
        <f>CONCATENATE("11 11.2 4b")</f>
        <v>11 11.2 4b</v>
      </c>
      <c r="M62" s="7" t="str">
        <f>CONCATENATE("CVLFNZ59D58D749W")</f>
        <v>CVLFNZ59D58D749W</v>
      </c>
      <c r="N62" s="7" t="s">
        <v>119</v>
      </c>
      <c r="O62" s="7" t="s">
        <v>73</v>
      </c>
      <c r="P62" s="8">
        <v>44700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7">
        <v>548.59</v>
      </c>
      <c r="W62" s="7">
        <v>236.55</v>
      </c>
      <c r="X62" s="7">
        <v>218.45</v>
      </c>
      <c r="Y62" s="7">
        <v>0</v>
      </c>
      <c r="Z62" s="7">
        <v>93.59</v>
      </c>
    </row>
    <row r="63" spans="1:26" ht="17.5" x14ac:dyDescent="0.35">
      <c r="A63" s="7" t="s">
        <v>27</v>
      </c>
      <c r="B63" s="7" t="s">
        <v>36</v>
      </c>
      <c r="C63" s="7" t="s">
        <v>47</v>
      </c>
      <c r="D63" s="7" t="s">
        <v>48</v>
      </c>
      <c r="E63" s="7" t="s">
        <v>29</v>
      </c>
      <c r="F63" s="7" t="s">
        <v>120</v>
      </c>
      <c r="G63" s="7">
        <v>2021</v>
      </c>
      <c r="H63" s="7" t="str">
        <f>CONCATENATE("14241221739")</f>
        <v>14241221739</v>
      </c>
      <c r="I63" s="7" t="s">
        <v>40</v>
      </c>
      <c r="J63" s="7" t="s">
        <v>31</v>
      </c>
      <c r="K63" s="7" t="str">
        <f>CONCATENATE("")</f>
        <v/>
      </c>
      <c r="L63" s="7" t="str">
        <f>CONCATENATE("11 11.2 4b")</f>
        <v>11 11.2 4b</v>
      </c>
      <c r="M63" s="7" t="str">
        <f>CONCATENATE("01711460434")</f>
        <v>01711460434</v>
      </c>
      <c r="N63" s="7" t="s">
        <v>121</v>
      </c>
      <c r="O63" s="7" t="s">
        <v>73</v>
      </c>
      <c r="P63" s="8">
        <v>44700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21612.47</v>
      </c>
      <c r="W63" s="9">
        <v>9319.2999999999993</v>
      </c>
      <c r="X63" s="9">
        <v>8606.09</v>
      </c>
      <c r="Y63" s="7">
        <v>0</v>
      </c>
      <c r="Z63" s="9">
        <v>3687.08</v>
      </c>
    </row>
    <row r="64" spans="1:26" x14ac:dyDescent="0.35">
      <c r="A64" s="7" t="s">
        <v>27</v>
      </c>
      <c r="B64" s="7" t="s">
        <v>36</v>
      </c>
      <c r="C64" s="7" t="s">
        <v>47</v>
      </c>
      <c r="D64" s="7" t="s">
        <v>48</v>
      </c>
      <c r="E64" s="7" t="s">
        <v>46</v>
      </c>
      <c r="F64" s="7" t="s">
        <v>98</v>
      </c>
      <c r="G64" s="7">
        <v>2021</v>
      </c>
      <c r="H64" s="7" t="str">
        <f>CONCATENATE("14241738542")</f>
        <v>14241738542</v>
      </c>
      <c r="I64" s="7" t="s">
        <v>30</v>
      </c>
      <c r="J64" s="7" t="s">
        <v>31</v>
      </c>
      <c r="K64" s="7" t="str">
        <f>CONCATENATE("")</f>
        <v/>
      </c>
      <c r="L64" s="7" t="str">
        <f>CONCATENATE("11 11.2 4b")</f>
        <v>11 11.2 4b</v>
      </c>
      <c r="M64" s="7" t="str">
        <f>CONCATENATE("PTTNMR65R60C704R")</f>
        <v>PTTNMR65R60C704R</v>
      </c>
      <c r="N64" s="7" t="s">
        <v>122</v>
      </c>
      <c r="O64" s="7" t="s">
        <v>73</v>
      </c>
      <c r="P64" s="8">
        <v>44700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866.7</v>
      </c>
      <c r="W64" s="7">
        <v>373.72</v>
      </c>
      <c r="X64" s="7">
        <v>345.12</v>
      </c>
      <c r="Y64" s="7">
        <v>0</v>
      </c>
      <c r="Z64" s="7">
        <v>147.86000000000001</v>
      </c>
    </row>
    <row r="65" spans="1:26" x14ac:dyDescent="0.35">
      <c r="A65" s="7" t="s">
        <v>27</v>
      </c>
      <c r="B65" s="7" t="s">
        <v>36</v>
      </c>
      <c r="C65" s="7" t="s">
        <v>47</v>
      </c>
      <c r="D65" s="7" t="s">
        <v>48</v>
      </c>
      <c r="E65" s="7" t="s">
        <v>29</v>
      </c>
      <c r="F65" s="7" t="s">
        <v>59</v>
      </c>
      <c r="G65" s="7">
        <v>2021</v>
      </c>
      <c r="H65" s="7" t="str">
        <f>CONCATENATE("14240555053")</f>
        <v>14240555053</v>
      </c>
      <c r="I65" s="7" t="s">
        <v>40</v>
      </c>
      <c r="J65" s="7" t="s">
        <v>31</v>
      </c>
      <c r="K65" s="7" t="str">
        <f>CONCATENATE("")</f>
        <v/>
      </c>
      <c r="L65" s="7" t="str">
        <f>CONCATENATE("11 11.1 4b")</f>
        <v>11 11.1 4b</v>
      </c>
      <c r="M65" s="7" t="str">
        <f>CONCATENATE("CPPGVR96A48E648T")</f>
        <v>CPPGVR96A48E648T</v>
      </c>
      <c r="N65" s="7" t="s">
        <v>123</v>
      </c>
      <c r="O65" s="7" t="s">
        <v>73</v>
      </c>
      <c r="P65" s="8">
        <v>44700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7">
        <v>245.24</v>
      </c>
      <c r="W65" s="7">
        <v>105.75</v>
      </c>
      <c r="X65" s="7">
        <v>97.65</v>
      </c>
      <c r="Y65" s="7">
        <v>0</v>
      </c>
      <c r="Z65" s="7">
        <v>41.84</v>
      </c>
    </row>
    <row r="66" spans="1:26" x14ac:dyDescent="0.35">
      <c r="A66" s="7" t="s">
        <v>27</v>
      </c>
      <c r="B66" s="7" t="s">
        <v>36</v>
      </c>
      <c r="C66" s="7" t="s">
        <v>47</v>
      </c>
      <c r="D66" s="7" t="s">
        <v>48</v>
      </c>
      <c r="E66" s="7" t="s">
        <v>38</v>
      </c>
      <c r="F66" s="7" t="s">
        <v>81</v>
      </c>
      <c r="G66" s="7">
        <v>2021</v>
      </c>
      <c r="H66" s="7" t="str">
        <f>CONCATENATE("14241224287")</f>
        <v>14241224287</v>
      </c>
      <c r="I66" s="7" t="s">
        <v>30</v>
      </c>
      <c r="J66" s="7" t="s">
        <v>31</v>
      </c>
      <c r="K66" s="7" t="str">
        <f>CONCATENATE("")</f>
        <v/>
      </c>
      <c r="L66" s="7" t="str">
        <f>CONCATENATE("11 11.2 4b")</f>
        <v>11 11.2 4b</v>
      </c>
      <c r="M66" s="7" t="str">
        <f>CONCATENATE("MRZLGN75A18L191E")</f>
        <v>MRZLGN75A18L191E</v>
      </c>
      <c r="N66" s="7" t="s">
        <v>124</v>
      </c>
      <c r="O66" s="7" t="s">
        <v>73</v>
      </c>
      <c r="P66" s="8">
        <v>44700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4044.14</v>
      </c>
      <c r="W66" s="9">
        <v>1743.83</v>
      </c>
      <c r="X66" s="9">
        <v>1610.38</v>
      </c>
      <c r="Y66" s="7">
        <v>0</v>
      </c>
      <c r="Z66" s="7">
        <v>689.93</v>
      </c>
    </row>
    <row r="67" spans="1:26" x14ac:dyDescent="0.35">
      <c r="A67" s="7" t="s">
        <v>27</v>
      </c>
      <c r="B67" s="7" t="s">
        <v>36</v>
      </c>
      <c r="C67" s="7" t="s">
        <v>47</v>
      </c>
      <c r="D67" s="7" t="s">
        <v>62</v>
      </c>
      <c r="E67" s="7" t="s">
        <v>38</v>
      </c>
      <c r="F67" s="7" t="s">
        <v>125</v>
      </c>
      <c r="G67" s="7">
        <v>2021</v>
      </c>
      <c r="H67" s="7" t="str">
        <f>CONCATENATE("14241234484")</f>
        <v>14241234484</v>
      </c>
      <c r="I67" s="7" t="s">
        <v>30</v>
      </c>
      <c r="J67" s="7" t="s">
        <v>31</v>
      </c>
      <c r="K67" s="7" t="str">
        <f>CONCATENATE("")</f>
        <v/>
      </c>
      <c r="L67" s="7" t="str">
        <f>CONCATENATE("11 11.2 4b")</f>
        <v>11 11.2 4b</v>
      </c>
      <c r="M67" s="7" t="str">
        <f>CONCATENATE("SWNJFR86H19Z335X")</f>
        <v>SWNJFR86H19Z335X</v>
      </c>
      <c r="N67" s="7" t="s">
        <v>126</v>
      </c>
      <c r="O67" s="7" t="s">
        <v>73</v>
      </c>
      <c r="P67" s="8">
        <v>44700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1736.34</v>
      </c>
      <c r="W67" s="7">
        <v>748.71</v>
      </c>
      <c r="X67" s="7">
        <v>691.41</v>
      </c>
      <c r="Y67" s="7">
        <v>0</v>
      </c>
      <c r="Z67" s="7">
        <v>296.22000000000003</v>
      </c>
    </row>
    <row r="68" spans="1:26" x14ac:dyDescent="0.35">
      <c r="A68" s="7" t="s">
        <v>27</v>
      </c>
      <c r="B68" s="7" t="s">
        <v>36</v>
      </c>
      <c r="C68" s="7" t="s">
        <v>47</v>
      </c>
      <c r="D68" s="7" t="s">
        <v>94</v>
      </c>
      <c r="E68" s="7" t="s">
        <v>44</v>
      </c>
      <c r="F68" s="7" t="s">
        <v>127</v>
      </c>
      <c r="G68" s="7">
        <v>2021</v>
      </c>
      <c r="H68" s="7" t="str">
        <f>CONCATENATE("14241216515")</f>
        <v>14241216515</v>
      </c>
      <c r="I68" s="7" t="s">
        <v>30</v>
      </c>
      <c r="J68" s="7" t="s">
        <v>31</v>
      </c>
      <c r="K68" s="7" t="str">
        <f>CONCATENATE("")</f>
        <v/>
      </c>
      <c r="L68" s="7" t="str">
        <f>CONCATENATE("14 14.1 3a")</f>
        <v>14 14.1 3a</v>
      </c>
      <c r="M68" s="7" t="str">
        <f>CONCATENATE("GLNLSN91H27A462E")</f>
        <v>GLNLSN91H27A462E</v>
      </c>
      <c r="N68" s="7" t="s">
        <v>128</v>
      </c>
      <c r="O68" s="7" t="s">
        <v>109</v>
      </c>
      <c r="P68" s="8">
        <v>44701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1474.4</v>
      </c>
      <c r="W68" s="7">
        <v>635.76</v>
      </c>
      <c r="X68" s="7">
        <v>587.11</v>
      </c>
      <c r="Y68" s="7">
        <v>0</v>
      </c>
      <c r="Z68" s="7">
        <v>251.53</v>
      </c>
    </row>
    <row r="69" spans="1:26" x14ac:dyDescent="0.35">
      <c r="A69" s="7" t="s">
        <v>27</v>
      </c>
      <c r="B69" s="7" t="s">
        <v>36</v>
      </c>
      <c r="C69" s="7" t="s">
        <v>47</v>
      </c>
      <c r="D69" s="7" t="s">
        <v>51</v>
      </c>
      <c r="E69" s="7" t="s">
        <v>37</v>
      </c>
      <c r="F69" s="7" t="s">
        <v>129</v>
      </c>
      <c r="G69" s="7">
        <v>2021</v>
      </c>
      <c r="H69" s="7" t="str">
        <f>CONCATENATE("14241384933")</f>
        <v>14241384933</v>
      </c>
      <c r="I69" s="7" t="s">
        <v>30</v>
      </c>
      <c r="J69" s="7" t="s">
        <v>31</v>
      </c>
      <c r="K69" s="7" t="str">
        <f>CONCATENATE("")</f>
        <v/>
      </c>
      <c r="L69" s="7" t="str">
        <f>CONCATENATE("14 14.1 3a")</f>
        <v>14 14.1 3a</v>
      </c>
      <c r="M69" s="7" t="str">
        <f>CONCATENATE("02585740414")</f>
        <v>02585740414</v>
      </c>
      <c r="N69" s="7" t="s">
        <v>130</v>
      </c>
      <c r="O69" s="7" t="s">
        <v>109</v>
      </c>
      <c r="P69" s="8">
        <v>44701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33100</v>
      </c>
      <c r="W69" s="9">
        <v>14272.72</v>
      </c>
      <c r="X69" s="9">
        <v>13180.42</v>
      </c>
      <c r="Y69" s="7">
        <v>0</v>
      </c>
      <c r="Z69" s="9">
        <v>5646.86</v>
      </c>
    </row>
    <row r="70" spans="1:26" x14ac:dyDescent="0.35">
      <c r="A70" s="7" t="s">
        <v>27</v>
      </c>
      <c r="B70" s="7" t="s">
        <v>36</v>
      </c>
      <c r="C70" s="7" t="s">
        <v>47</v>
      </c>
      <c r="D70" s="7" t="s">
        <v>48</v>
      </c>
      <c r="E70" s="7" t="s">
        <v>38</v>
      </c>
      <c r="F70" s="7" t="s">
        <v>116</v>
      </c>
      <c r="G70" s="7">
        <v>2021</v>
      </c>
      <c r="H70" s="7" t="str">
        <f>CONCATENATE("14240594599")</f>
        <v>14240594599</v>
      </c>
      <c r="I70" s="7" t="s">
        <v>30</v>
      </c>
      <c r="J70" s="7" t="s">
        <v>31</v>
      </c>
      <c r="K70" s="7" t="str">
        <f>CONCATENATE("")</f>
        <v/>
      </c>
      <c r="L70" s="7" t="str">
        <f>CONCATENATE("11 11.2 4b")</f>
        <v>11 11.2 4b</v>
      </c>
      <c r="M70" s="7" t="str">
        <f>CONCATENATE("01593570433")</f>
        <v>01593570433</v>
      </c>
      <c r="N70" s="7" t="s">
        <v>131</v>
      </c>
      <c r="O70" s="7" t="s">
        <v>73</v>
      </c>
      <c r="P70" s="8">
        <v>44700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1410.61</v>
      </c>
      <c r="W70" s="7">
        <v>608.26</v>
      </c>
      <c r="X70" s="7">
        <v>561.70000000000005</v>
      </c>
      <c r="Y70" s="7">
        <v>0</v>
      </c>
      <c r="Z70" s="7">
        <v>240.65</v>
      </c>
    </row>
    <row r="71" spans="1:26" x14ac:dyDescent="0.35">
      <c r="A71" s="7" t="s">
        <v>27</v>
      </c>
      <c r="B71" s="7" t="s">
        <v>36</v>
      </c>
      <c r="C71" s="7" t="s">
        <v>47</v>
      </c>
      <c r="D71" s="7" t="s">
        <v>48</v>
      </c>
      <c r="E71" s="7" t="s">
        <v>38</v>
      </c>
      <c r="F71" s="7" t="s">
        <v>57</v>
      </c>
      <c r="G71" s="7">
        <v>2021</v>
      </c>
      <c r="H71" s="7" t="str">
        <f>CONCATENATE("14240844382")</f>
        <v>14240844382</v>
      </c>
      <c r="I71" s="7" t="s">
        <v>30</v>
      </c>
      <c r="J71" s="7" t="s">
        <v>31</v>
      </c>
      <c r="K71" s="7" t="str">
        <f>CONCATENATE("")</f>
        <v/>
      </c>
      <c r="L71" s="7" t="str">
        <f>CONCATENATE("11 11.2 4b")</f>
        <v>11 11.2 4b</v>
      </c>
      <c r="M71" s="7" t="str">
        <f>CONCATENATE("01741900433")</f>
        <v>01741900433</v>
      </c>
      <c r="N71" s="7" t="s">
        <v>132</v>
      </c>
      <c r="O71" s="7" t="s">
        <v>73</v>
      </c>
      <c r="P71" s="8">
        <v>44700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2500.5300000000002</v>
      </c>
      <c r="W71" s="9">
        <v>1078.23</v>
      </c>
      <c r="X71" s="7">
        <v>995.71</v>
      </c>
      <c r="Y71" s="7">
        <v>0</v>
      </c>
      <c r="Z71" s="7">
        <v>426.59</v>
      </c>
    </row>
    <row r="72" spans="1:26" x14ac:dyDescent="0.35">
      <c r="A72" s="7" t="s">
        <v>27</v>
      </c>
      <c r="B72" s="7" t="s">
        <v>36</v>
      </c>
      <c r="C72" s="7" t="s">
        <v>47</v>
      </c>
      <c r="D72" s="7" t="s">
        <v>48</v>
      </c>
      <c r="E72" s="7" t="s">
        <v>29</v>
      </c>
      <c r="F72" s="7" t="s">
        <v>105</v>
      </c>
      <c r="G72" s="7">
        <v>2021</v>
      </c>
      <c r="H72" s="7" t="str">
        <f>CONCATENATE("14240667031")</f>
        <v>14240667031</v>
      </c>
      <c r="I72" s="7" t="s">
        <v>30</v>
      </c>
      <c r="J72" s="7" t="s">
        <v>31</v>
      </c>
      <c r="K72" s="7" t="str">
        <f>CONCATENATE("")</f>
        <v/>
      </c>
      <c r="L72" s="7" t="str">
        <f>CONCATENATE("11 11.2 4b")</f>
        <v>11 11.2 4b</v>
      </c>
      <c r="M72" s="7" t="str">
        <f>CONCATENATE("TRRMTN76P43E783V")</f>
        <v>TRRMTN76P43E783V</v>
      </c>
      <c r="N72" s="7" t="s">
        <v>133</v>
      </c>
      <c r="O72" s="7" t="s">
        <v>73</v>
      </c>
      <c r="P72" s="8">
        <v>44700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584.39</v>
      </c>
      <c r="W72" s="7">
        <v>251.99</v>
      </c>
      <c r="X72" s="7">
        <v>232.7</v>
      </c>
      <c r="Y72" s="7">
        <v>0</v>
      </c>
      <c r="Z72" s="7">
        <v>99.7</v>
      </c>
    </row>
    <row r="73" spans="1:26" x14ac:dyDescent="0.35">
      <c r="A73" s="7" t="s">
        <v>27</v>
      </c>
      <c r="B73" s="7" t="s">
        <v>36</v>
      </c>
      <c r="C73" s="7" t="s">
        <v>47</v>
      </c>
      <c r="D73" s="7" t="s">
        <v>48</v>
      </c>
      <c r="E73" s="7" t="s">
        <v>38</v>
      </c>
      <c r="F73" s="7" t="s">
        <v>57</v>
      </c>
      <c r="G73" s="7">
        <v>2021</v>
      </c>
      <c r="H73" s="7" t="str">
        <f>CONCATENATE("14240963760")</f>
        <v>14240963760</v>
      </c>
      <c r="I73" s="7" t="s">
        <v>30</v>
      </c>
      <c r="J73" s="7" t="s">
        <v>31</v>
      </c>
      <c r="K73" s="7" t="str">
        <f>CONCATENATE("")</f>
        <v/>
      </c>
      <c r="L73" s="7" t="str">
        <f>CONCATENATE("11 11.2 4b")</f>
        <v>11 11.2 4b</v>
      </c>
      <c r="M73" s="7" t="str">
        <f>CONCATENATE("01641480437")</f>
        <v>01641480437</v>
      </c>
      <c r="N73" s="7" t="s">
        <v>134</v>
      </c>
      <c r="O73" s="7" t="s">
        <v>73</v>
      </c>
      <c r="P73" s="8">
        <v>44700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8551.14</v>
      </c>
      <c r="W73" s="9">
        <v>3687.25</v>
      </c>
      <c r="X73" s="9">
        <v>3405.06</v>
      </c>
      <c r="Y73" s="7">
        <v>0</v>
      </c>
      <c r="Z73" s="9">
        <v>1458.83</v>
      </c>
    </row>
    <row r="74" spans="1:26" x14ac:dyDescent="0.35">
      <c r="A74" s="7" t="s">
        <v>27</v>
      </c>
      <c r="B74" s="7" t="s">
        <v>36</v>
      </c>
      <c r="C74" s="7" t="s">
        <v>47</v>
      </c>
      <c r="D74" s="7" t="s">
        <v>62</v>
      </c>
      <c r="E74" s="7" t="s">
        <v>39</v>
      </c>
      <c r="F74" s="7" t="s">
        <v>135</v>
      </c>
      <c r="G74" s="7">
        <v>2021</v>
      </c>
      <c r="H74" s="7" t="str">
        <f>CONCATENATE("14240350638")</f>
        <v>14240350638</v>
      </c>
      <c r="I74" s="7" t="s">
        <v>30</v>
      </c>
      <c r="J74" s="7" t="s">
        <v>31</v>
      </c>
      <c r="K74" s="7" t="str">
        <f>CONCATENATE("")</f>
        <v/>
      </c>
      <c r="L74" s="7" t="str">
        <f>CONCATENATE("11 11.2 4b")</f>
        <v>11 11.2 4b</v>
      </c>
      <c r="M74" s="7" t="str">
        <f>CONCATENATE("RSRNDA77B66I608L")</f>
        <v>RSRNDA77B66I608L</v>
      </c>
      <c r="N74" s="7" t="s">
        <v>136</v>
      </c>
      <c r="O74" s="7" t="s">
        <v>73</v>
      </c>
      <c r="P74" s="8">
        <v>44700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7">
        <v>474.77</v>
      </c>
      <c r="W74" s="7">
        <v>204.72</v>
      </c>
      <c r="X74" s="7">
        <v>189.05</v>
      </c>
      <c r="Y74" s="7">
        <v>0</v>
      </c>
      <c r="Z74" s="7">
        <v>81</v>
      </c>
    </row>
    <row r="75" spans="1:26" x14ac:dyDescent="0.35">
      <c r="A75" s="7" t="s">
        <v>27</v>
      </c>
      <c r="B75" s="7" t="s">
        <v>36</v>
      </c>
      <c r="C75" s="7" t="s">
        <v>47</v>
      </c>
      <c r="D75" s="7" t="s">
        <v>48</v>
      </c>
      <c r="E75" s="7" t="s">
        <v>29</v>
      </c>
      <c r="F75" s="7" t="s">
        <v>137</v>
      </c>
      <c r="G75" s="7">
        <v>2021</v>
      </c>
      <c r="H75" s="7" t="str">
        <f>CONCATENATE("14241738427")</f>
        <v>14241738427</v>
      </c>
      <c r="I75" s="7" t="s">
        <v>30</v>
      </c>
      <c r="J75" s="7" t="s">
        <v>31</v>
      </c>
      <c r="K75" s="7" t="str">
        <f>CONCATENATE("")</f>
        <v/>
      </c>
      <c r="L75" s="7" t="str">
        <f>CONCATENATE("11 11.2 4b")</f>
        <v>11 11.2 4b</v>
      </c>
      <c r="M75" s="7" t="str">
        <f>CONCATENATE("MSCLSN89S13B474V")</f>
        <v>MSCLSN89S13B474V</v>
      </c>
      <c r="N75" s="7" t="s">
        <v>138</v>
      </c>
      <c r="O75" s="7" t="s">
        <v>73</v>
      </c>
      <c r="P75" s="8">
        <v>44700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4391.55</v>
      </c>
      <c r="W75" s="9">
        <v>1893.64</v>
      </c>
      <c r="X75" s="9">
        <v>1748.72</v>
      </c>
      <c r="Y75" s="7">
        <v>0</v>
      </c>
      <c r="Z75" s="7">
        <v>749.19</v>
      </c>
    </row>
    <row r="76" spans="1:26" x14ac:dyDescent="0.35">
      <c r="A76" s="7" t="s">
        <v>27</v>
      </c>
      <c r="B76" s="7" t="s">
        <v>36</v>
      </c>
      <c r="C76" s="7" t="s">
        <v>47</v>
      </c>
      <c r="D76" s="7" t="s">
        <v>62</v>
      </c>
      <c r="E76" s="7" t="s">
        <v>39</v>
      </c>
      <c r="F76" s="7" t="s">
        <v>63</v>
      </c>
      <c r="G76" s="7">
        <v>2021</v>
      </c>
      <c r="H76" s="7" t="str">
        <f>CONCATENATE("14240755380")</f>
        <v>14240755380</v>
      </c>
      <c r="I76" s="7" t="s">
        <v>30</v>
      </c>
      <c r="J76" s="7" t="s">
        <v>31</v>
      </c>
      <c r="K76" s="7" t="str">
        <f>CONCATENATE("")</f>
        <v/>
      </c>
      <c r="L76" s="7" t="str">
        <f>CONCATENATE("11 11.1 4b")</f>
        <v>11 11.1 4b</v>
      </c>
      <c r="M76" s="7" t="str">
        <f>CONCATENATE("MRCMHL92B25E388A")</f>
        <v>MRCMHL92B25E388A</v>
      </c>
      <c r="N76" s="7" t="s">
        <v>139</v>
      </c>
      <c r="O76" s="7" t="s">
        <v>73</v>
      </c>
      <c r="P76" s="8">
        <v>44700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7">
        <v>842.86</v>
      </c>
      <c r="W76" s="7">
        <v>363.44</v>
      </c>
      <c r="X76" s="7">
        <v>335.63</v>
      </c>
      <c r="Y76" s="7">
        <v>0</v>
      </c>
      <c r="Z76" s="7">
        <v>143.79</v>
      </c>
    </row>
    <row r="77" spans="1:26" x14ac:dyDescent="0.35">
      <c r="A77" s="7" t="s">
        <v>27</v>
      </c>
      <c r="B77" s="7" t="s">
        <v>36</v>
      </c>
      <c r="C77" s="7" t="s">
        <v>47</v>
      </c>
      <c r="D77" s="7" t="s">
        <v>51</v>
      </c>
      <c r="E77" s="7" t="s">
        <v>38</v>
      </c>
      <c r="F77" s="7" t="s">
        <v>118</v>
      </c>
      <c r="G77" s="7">
        <v>2021</v>
      </c>
      <c r="H77" s="7" t="str">
        <f>CONCATENATE("14240700196")</f>
        <v>14240700196</v>
      </c>
      <c r="I77" s="7" t="s">
        <v>40</v>
      </c>
      <c r="J77" s="7" t="s">
        <v>31</v>
      </c>
      <c r="K77" s="7" t="str">
        <f>CONCATENATE("")</f>
        <v/>
      </c>
      <c r="L77" s="7" t="str">
        <f>CONCATENATE("11 11.1 4b")</f>
        <v>11 11.1 4b</v>
      </c>
      <c r="M77" s="7" t="str">
        <f>CONCATENATE("SCCMTR96L43L500Z")</f>
        <v>SCCMTR96L43L500Z</v>
      </c>
      <c r="N77" s="7" t="s">
        <v>140</v>
      </c>
      <c r="O77" s="7" t="s">
        <v>73</v>
      </c>
      <c r="P77" s="8">
        <v>44700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7">
        <v>240.08</v>
      </c>
      <c r="W77" s="7">
        <v>103.52</v>
      </c>
      <c r="X77" s="7">
        <v>95.6</v>
      </c>
      <c r="Y77" s="7">
        <v>0</v>
      </c>
      <c r="Z77" s="7">
        <v>40.96</v>
      </c>
    </row>
    <row r="78" spans="1:26" x14ac:dyDescent="0.35">
      <c r="A78" s="7" t="s">
        <v>27</v>
      </c>
      <c r="B78" s="7" t="s">
        <v>36</v>
      </c>
      <c r="C78" s="7" t="s">
        <v>47</v>
      </c>
      <c r="D78" s="7" t="s">
        <v>51</v>
      </c>
      <c r="E78" s="7" t="s">
        <v>38</v>
      </c>
      <c r="F78" s="7" t="s">
        <v>118</v>
      </c>
      <c r="G78" s="7">
        <v>2021</v>
      </c>
      <c r="H78" s="7" t="str">
        <f>CONCATENATE("14240702945")</f>
        <v>14240702945</v>
      </c>
      <c r="I78" s="7" t="s">
        <v>40</v>
      </c>
      <c r="J78" s="7" t="s">
        <v>31</v>
      </c>
      <c r="K78" s="7" t="str">
        <f>CONCATENATE("")</f>
        <v/>
      </c>
      <c r="L78" s="7" t="str">
        <f>CONCATENATE("11 11.2 4b")</f>
        <v>11 11.2 4b</v>
      </c>
      <c r="M78" s="7" t="str">
        <f>CONCATENATE("BGTLRN59D48G089K")</f>
        <v>BGTLRN59D48G089K</v>
      </c>
      <c r="N78" s="7" t="s">
        <v>141</v>
      </c>
      <c r="O78" s="7" t="s">
        <v>73</v>
      </c>
      <c r="P78" s="8">
        <v>44700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7">
        <v>55.3</v>
      </c>
      <c r="W78" s="7">
        <v>23.85</v>
      </c>
      <c r="X78" s="7">
        <v>22.02</v>
      </c>
      <c r="Y78" s="7">
        <v>0</v>
      </c>
      <c r="Z78" s="7">
        <v>9.43</v>
      </c>
    </row>
    <row r="79" spans="1:26" ht="17.5" x14ac:dyDescent="0.35">
      <c r="A79" s="7" t="s">
        <v>27</v>
      </c>
      <c r="B79" s="7" t="s">
        <v>36</v>
      </c>
      <c r="C79" s="7" t="s">
        <v>47</v>
      </c>
      <c r="D79" s="7" t="s">
        <v>48</v>
      </c>
      <c r="E79" s="7" t="s">
        <v>38</v>
      </c>
      <c r="F79" s="7" t="s">
        <v>81</v>
      </c>
      <c r="G79" s="7">
        <v>2021</v>
      </c>
      <c r="H79" s="7" t="str">
        <f>CONCATENATE("14240561440")</f>
        <v>14240561440</v>
      </c>
      <c r="I79" s="7" t="s">
        <v>30</v>
      </c>
      <c r="J79" s="7" t="s">
        <v>31</v>
      </c>
      <c r="K79" s="7" t="str">
        <f>CONCATENATE("")</f>
        <v/>
      </c>
      <c r="L79" s="7" t="str">
        <f>CONCATENATE("11 11.2 4b")</f>
        <v>11 11.2 4b</v>
      </c>
      <c r="M79" s="7" t="str">
        <f>CONCATENATE("01797880430")</f>
        <v>01797880430</v>
      </c>
      <c r="N79" s="7" t="s">
        <v>142</v>
      </c>
      <c r="O79" s="7" t="s">
        <v>73</v>
      </c>
      <c r="P79" s="8">
        <v>44700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1880.56</v>
      </c>
      <c r="W79" s="7">
        <v>810.9</v>
      </c>
      <c r="X79" s="7">
        <v>748.84</v>
      </c>
      <c r="Y79" s="7">
        <v>0</v>
      </c>
      <c r="Z79" s="7">
        <v>320.82</v>
      </c>
    </row>
    <row r="80" spans="1:26" x14ac:dyDescent="0.35">
      <c r="A80" s="7" t="s">
        <v>27</v>
      </c>
      <c r="B80" s="7" t="s">
        <v>36</v>
      </c>
      <c r="C80" s="7" t="s">
        <v>47</v>
      </c>
      <c r="D80" s="7" t="s">
        <v>48</v>
      </c>
      <c r="E80" s="7" t="s">
        <v>38</v>
      </c>
      <c r="F80" s="7" t="s">
        <v>81</v>
      </c>
      <c r="G80" s="7">
        <v>2021</v>
      </c>
      <c r="H80" s="7" t="str">
        <f>CONCATENATE("14240668583")</f>
        <v>14240668583</v>
      </c>
      <c r="I80" s="7" t="s">
        <v>30</v>
      </c>
      <c r="J80" s="7" t="s">
        <v>31</v>
      </c>
      <c r="K80" s="7" t="str">
        <f>CONCATENATE("")</f>
        <v/>
      </c>
      <c r="L80" s="7" t="str">
        <f>CONCATENATE("11 11.2 4b")</f>
        <v>11 11.2 4b</v>
      </c>
      <c r="M80" s="7" t="str">
        <f>CONCATENATE("LCRLGU34T31E228O")</f>
        <v>LCRLGU34T31E228O</v>
      </c>
      <c r="N80" s="7" t="s">
        <v>143</v>
      </c>
      <c r="O80" s="7" t="s">
        <v>73</v>
      </c>
      <c r="P80" s="8">
        <v>44700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6030.02</v>
      </c>
      <c r="W80" s="9">
        <v>2600.14</v>
      </c>
      <c r="X80" s="9">
        <v>2401.15</v>
      </c>
      <c r="Y80" s="7">
        <v>0</v>
      </c>
      <c r="Z80" s="9">
        <v>1028.73</v>
      </c>
    </row>
    <row r="81" spans="1:26" x14ac:dyDescent="0.35">
      <c r="A81" s="7" t="s">
        <v>27</v>
      </c>
      <c r="B81" s="7" t="s">
        <v>36</v>
      </c>
      <c r="C81" s="7" t="s">
        <v>47</v>
      </c>
      <c r="D81" s="7" t="s">
        <v>94</v>
      </c>
      <c r="E81" s="7" t="s">
        <v>38</v>
      </c>
      <c r="F81" s="7" t="s">
        <v>144</v>
      </c>
      <c r="G81" s="7">
        <v>2021</v>
      </c>
      <c r="H81" s="7" t="str">
        <f>CONCATENATE("14240963638")</f>
        <v>14240963638</v>
      </c>
      <c r="I81" s="7" t="s">
        <v>30</v>
      </c>
      <c r="J81" s="7" t="s">
        <v>31</v>
      </c>
      <c r="K81" s="7" t="str">
        <f>CONCATENATE("")</f>
        <v/>
      </c>
      <c r="L81" s="7" t="str">
        <f>CONCATENATE("11 11.2 4b")</f>
        <v>11 11.2 4b</v>
      </c>
      <c r="M81" s="7" t="str">
        <f>CONCATENATE("CNCGLN51B64C901U")</f>
        <v>CNCGLN51B64C901U</v>
      </c>
      <c r="N81" s="7" t="s">
        <v>145</v>
      </c>
      <c r="O81" s="7" t="s">
        <v>73</v>
      </c>
      <c r="P81" s="8">
        <v>44700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7">
        <v>794.99</v>
      </c>
      <c r="W81" s="7">
        <v>342.8</v>
      </c>
      <c r="X81" s="7">
        <v>316.57</v>
      </c>
      <c r="Y81" s="7">
        <v>0</v>
      </c>
      <c r="Z81" s="7">
        <v>135.62</v>
      </c>
    </row>
    <row r="82" spans="1:26" ht="17.5" x14ac:dyDescent="0.35">
      <c r="A82" s="7" t="s">
        <v>27</v>
      </c>
      <c r="B82" s="7" t="s">
        <v>36</v>
      </c>
      <c r="C82" s="7" t="s">
        <v>47</v>
      </c>
      <c r="D82" s="7" t="s">
        <v>48</v>
      </c>
      <c r="E82" s="7" t="s">
        <v>38</v>
      </c>
      <c r="F82" s="7" t="s">
        <v>57</v>
      </c>
      <c r="G82" s="7">
        <v>2021</v>
      </c>
      <c r="H82" s="7" t="str">
        <f>CONCATENATE("14240842444")</f>
        <v>14240842444</v>
      </c>
      <c r="I82" s="7" t="s">
        <v>30</v>
      </c>
      <c r="J82" s="7" t="s">
        <v>31</v>
      </c>
      <c r="K82" s="7" t="str">
        <f>CONCATENATE("")</f>
        <v/>
      </c>
      <c r="L82" s="7" t="str">
        <f>CONCATENATE("11 11.1 4b")</f>
        <v>11 11.1 4b</v>
      </c>
      <c r="M82" s="7" t="str">
        <f>CONCATENATE("01941070433")</f>
        <v>01941070433</v>
      </c>
      <c r="N82" s="7" t="s">
        <v>146</v>
      </c>
      <c r="O82" s="7" t="s">
        <v>73</v>
      </c>
      <c r="P82" s="8">
        <v>44700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7">
        <v>673.06</v>
      </c>
      <c r="W82" s="7">
        <v>290.22000000000003</v>
      </c>
      <c r="X82" s="7">
        <v>268.01</v>
      </c>
      <c r="Y82" s="7">
        <v>0</v>
      </c>
      <c r="Z82" s="7">
        <v>114.83</v>
      </c>
    </row>
    <row r="83" spans="1:26" ht="17.5" x14ac:dyDescent="0.35">
      <c r="A83" s="7" t="s">
        <v>27</v>
      </c>
      <c r="B83" s="7" t="s">
        <v>36</v>
      </c>
      <c r="C83" s="7" t="s">
        <v>47</v>
      </c>
      <c r="D83" s="7" t="s">
        <v>94</v>
      </c>
      <c r="E83" s="7" t="s">
        <v>38</v>
      </c>
      <c r="F83" s="7" t="s">
        <v>147</v>
      </c>
      <c r="G83" s="7">
        <v>2021</v>
      </c>
      <c r="H83" s="7" t="str">
        <f>CONCATENATE("14241090571")</f>
        <v>14241090571</v>
      </c>
      <c r="I83" s="7" t="s">
        <v>30</v>
      </c>
      <c r="J83" s="7" t="s">
        <v>31</v>
      </c>
      <c r="K83" s="7" t="str">
        <f>CONCATENATE("")</f>
        <v/>
      </c>
      <c r="L83" s="7" t="str">
        <f>CONCATENATE("14 14.1 3a")</f>
        <v>14 14.1 3a</v>
      </c>
      <c r="M83" s="7" t="str">
        <f>CONCATENATE("02274900444")</f>
        <v>02274900444</v>
      </c>
      <c r="N83" s="7" t="s">
        <v>148</v>
      </c>
      <c r="O83" s="7" t="s">
        <v>109</v>
      </c>
      <c r="P83" s="8">
        <v>44701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1446</v>
      </c>
      <c r="W83" s="7">
        <v>623.52</v>
      </c>
      <c r="X83" s="7">
        <v>575.79999999999995</v>
      </c>
      <c r="Y83" s="7">
        <v>0</v>
      </c>
      <c r="Z83" s="7">
        <v>246.68</v>
      </c>
    </row>
    <row r="84" spans="1:26" x14ac:dyDescent="0.35">
      <c r="A84" s="7" t="s">
        <v>27</v>
      </c>
      <c r="B84" s="7" t="s">
        <v>36</v>
      </c>
      <c r="C84" s="7" t="s">
        <v>47</v>
      </c>
      <c r="D84" s="7" t="s">
        <v>51</v>
      </c>
      <c r="E84" s="7" t="s">
        <v>39</v>
      </c>
      <c r="F84" s="7" t="s">
        <v>149</v>
      </c>
      <c r="G84" s="7">
        <v>2021</v>
      </c>
      <c r="H84" s="7" t="str">
        <f>CONCATENATE("14241081000")</f>
        <v>14241081000</v>
      </c>
      <c r="I84" s="7" t="s">
        <v>40</v>
      </c>
      <c r="J84" s="7" t="s">
        <v>31</v>
      </c>
      <c r="K84" s="7" t="str">
        <f>CONCATENATE("")</f>
        <v/>
      </c>
      <c r="L84" s="7" t="str">
        <f>CONCATENATE("11 11.2 4b")</f>
        <v>11 11.2 4b</v>
      </c>
      <c r="M84" s="7" t="str">
        <f>CONCATENATE("BRNMRC71P12F347P")</f>
        <v>BRNMRC71P12F347P</v>
      </c>
      <c r="N84" s="7" t="s">
        <v>150</v>
      </c>
      <c r="O84" s="7" t="s">
        <v>73</v>
      </c>
      <c r="P84" s="8">
        <v>44700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7">
        <v>178.14</v>
      </c>
      <c r="W84" s="7">
        <v>76.81</v>
      </c>
      <c r="X84" s="7">
        <v>70.94</v>
      </c>
      <c r="Y84" s="7">
        <v>0</v>
      </c>
      <c r="Z84" s="7">
        <v>30.39</v>
      </c>
    </row>
    <row r="85" spans="1:26" x14ac:dyDescent="0.35">
      <c r="A85" s="7" t="s">
        <v>27</v>
      </c>
      <c r="B85" s="7" t="s">
        <v>36</v>
      </c>
      <c r="C85" s="7" t="s">
        <v>47</v>
      </c>
      <c r="D85" s="7" t="s">
        <v>48</v>
      </c>
      <c r="E85" s="7" t="s">
        <v>38</v>
      </c>
      <c r="F85" s="7" t="s">
        <v>151</v>
      </c>
      <c r="G85" s="7">
        <v>2021</v>
      </c>
      <c r="H85" s="7" t="str">
        <f>CONCATENATE("14240801150")</f>
        <v>14240801150</v>
      </c>
      <c r="I85" s="7" t="s">
        <v>40</v>
      </c>
      <c r="J85" s="7" t="s">
        <v>31</v>
      </c>
      <c r="K85" s="7" t="str">
        <f>CONCATENATE("")</f>
        <v/>
      </c>
      <c r="L85" s="7" t="str">
        <f>CONCATENATE("11 11.2 4b")</f>
        <v>11 11.2 4b</v>
      </c>
      <c r="M85" s="7" t="str">
        <f>CONCATENATE("RZOWTR88E06E783C")</f>
        <v>RZOWTR88E06E783C</v>
      </c>
      <c r="N85" s="7" t="s">
        <v>152</v>
      </c>
      <c r="O85" s="7" t="s">
        <v>73</v>
      </c>
      <c r="P85" s="8">
        <v>44700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7">
        <v>504.92</v>
      </c>
      <c r="W85" s="7">
        <v>217.72</v>
      </c>
      <c r="X85" s="7">
        <v>201.06</v>
      </c>
      <c r="Y85" s="7">
        <v>0</v>
      </c>
      <c r="Z85" s="7">
        <v>86.14</v>
      </c>
    </row>
    <row r="86" spans="1:26" x14ac:dyDescent="0.35">
      <c r="A86" s="7" t="s">
        <v>27</v>
      </c>
      <c r="B86" s="7" t="s">
        <v>36</v>
      </c>
      <c r="C86" s="7" t="s">
        <v>47</v>
      </c>
      <c r="D86" s="7" t="s">
        <v>48</v>
      </c>
      <c r="E86" s="7" t="s">
        <v>38</v>
      </c>
      <c r="F86" s="7" t="s">
        <v>151</v>
      </c>
      <c r="G86" s="7">
        <v>2021</v>
      </c>
      <c r="H86" s="7" t="str">
        <f>CONCATENATE("14240801127")</f>
        <v>14240801127</v>
      </c>
      <c r="I86" s="7" t="s">
        <v>40</v>
      </c>
      <c r="J86" s="7" t="s">
        <v>31</v>
      </c>
      <c r="K86" s="7" t="str">
        <f>CONCATENATE("")</f>
        <v/>
      </c>
      <c r="L86" s="7" t="str">
        <f>CONCATENATE("11 11.2 4b")</f>
        <v>11 11.2 4b</v>
      </c>
      <c r="M86" s="7" t="str">
        <f>CONCATENATE("RZOWTR88E06E783C")</f>
        <v>RZOWTR88E06E783C</v>
      </c>
      <c r="N86" s="7" t="s">
        <v>152</v>
      </c>
      <c r="O86" s="7" t="s">
        <v>73</v>
      </c>
      <c r="P86" s="8">
        <v>44700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2543.0500000000002</v>
      </c>
      <c r="W86" s="9">
        <v>1096.56</v>
      </c>
      <c r="X86" s="9">
        <v>1012.64</v>
      </c>
      <c r="Y86" s="7">
        <v>0</v>
      </c>
      <c r="Z86" s="7">
        <v>433.85</v>
      </c>
    </row>
    <row r="87" spans="1:26" x14ac:dyDescent="0.35">
      <c r="A87" s="7" t="s">
        <v>27</v>
      </c>
      <c r="B87" s="7" t="s">
        <v>36</v>
      </c>
      <c r="C87" s="7" t="s">
        <v>47</v>
      </c>
      <c r="D87" s="7" t="s">
        <v>94</v>
      </c>
      <c r="E87" s="7" t="s">
        <v>38</v>
      </c>
      <c r="F87" s="7" t="s">
        <v>144</v>
      </c>
      <c r="G87" s="7">
        <v>2021</v>
      </c>
      <c r="H87" s="7" t="str">
        <f>CONCATENATE("14240475898")</f>
        <v>14240475898</v>
      </c>
      <c r="I87" s="7" t="s">
        <v>30</v>
      </c>
      <c r="J87" s="7" t="s">
        <v>31</v>
      </c>
      <c r="K87" s="7" t="str">
        <f>CONCATENATE("")</f>
        <v/>
      </c>
      <c r="L87" s="7" t="str">
        <f>CONCATENATE("11 11.2 4b")</f>
        <v>11 11.2 4b</v>
      </c>
      <c r="M87" s="7" t="str">
        <f>CONCATENATE("01186180442")</f>
        <v>01186180442</v>
      </c>
      <c r="N87" s="7" t="s">
        <v>153</v>
      </c>
      <c r="O87" s="7" t="s">
        <v>73</v>
      </c>
      <c r="P87" s="8">
        <v>44700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7">
        <v>497.81</v>
      </c>
      <c r="W87" s="7">
        <v>214.66</v>
      </c>
      <c r="X87" s="7">
        <v>198.23</v>
      </c>
      <c r="Y87" s="7">
        <v>0</v>
      </c>
      <c r="Z87" s="7">
        <v>84.92</v>
      </c>
    </row>
    <row r="88" spans="1:26" x14ac:dyDescent="0.35">
      <c r="A88" s="7" t="s">
        <v>27</v>
      </c>
      <c r="B88" s="7" t="s">
        <v>36</v>
      </c>
      <c r="C88" s="7" t="s">
        <v>47</v>
      </c>
      <c r="D88" s="7" t="s">
        <v>94</v>
      </c>
      <c r="E88" s="7" t="s">
        <v>38</v>
      </c>
      <c r="F88" s="7" t="s">
        <v>144</v>
      </c>
      <c r="G88" s="7">
        <v>2021</v>
      </c>
      <c r="H88" s="7" t="str">
        <f>CONCATENATE("14241383232")</f>
        <v>14241383232</v>
      </c>
      <c r="I88" s="7" t="s">
        <v>40</v>
      </c>
      <c r="J88" s="7" t="s">
        <v>31</v>
      </c>
      <c r="K88" s="7" t="str">
        <f>CONCATENATE("")</f>
        <v/>
      </c>
      <c r="L88" s="7" t="str">
        <f>CONCATENATE("11 11.2 4b")</f>
        <v>11 11.2 4b</v>
      </c>
      <c r="M88" s="7" t="str">
        <f>CONCATENATE("RLAMRN82M13A252L")</f>
        <v>RLAMRN82M13A252L</v>
      </c>
      <c r="N88" s="7" t="s">
        <v>154</v>
      </c>
      <c r="O88" s="7" t="s">
        <v>73</v>
      </c>
      <c r="P88" s="8">
        <v>44700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7">
        <v>453.35</v>
      </c>
      <c r="W88" s="7">
        <v>195.48</v>
      </c>
      <c r="X88" s="7">
        <v>180.52</v>
      </c>
      <c r="Y88" s="7">
        <v>0</v>
      </c>
      <c r="Z88" s="7">
        <v>77.349999999999994</v>
      </c>
    </row>
    <row r="89" spans="1:26" x14ac:dyDescent="0.35">
      <c r="A89" s="7" t="s">
        <v>27</v>
      </c>
      <c r="B89" s="7" t="s">
        <v>36</v>
      </c>
      <c r="C89" s="7" t="s">
        <v>47</v>
      </c>
      <c r="D89" s="7" t="s">
        <v>48</v>
      </c>
      <c r="E89" s="7" t="s">
        <v>38</v>
      </c>
      <c r="F89" s="7" t="s">
        <v>57</v>
      </c>
      <c r="G89" s="7">
        <v>2021</v>
      </c>
      <c r="H89" s="7" t="str">
        <f>CONCATENATE("14241151159")</f>
        <v>14241151159</v>
      </c>
      <c r="I89" s="7" t="s">
        <v>40</v>
      </c>
      <c r="J89" s="7" t="s">
        <v>31</v>
      </c>
      <c r="K89" s="7" t="str">
        <f>CONCATENATE("")</f>
        <v/>
      </c>
      <c r="L89" s="7" t="str">
        <f>CONCATENATE("11 11.2 4b")</f>
        <v>11 11.2 4b</v>
      </c>
      <c r="M89" s="7" t="str">
        <f>CONCATENATE("MCCMRC92C06D653Q")</f>
        <v>MCCMRC92C06D653Q</v>
      </c>
      <c r="N89" s="7" t="s">
        <v>155</v>
      </c>
      <c r="O89" s="7" t="s">
        <v>73</v>
      </c>
      <c r="P89" s="8">
        <v>44700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1951.65</v>
      </c>
      <c r="W89" s="7">
        <v>841.55</v>
      </c>
      <c r="X89" s="7">
        <v>777.15</v>
      </c>
      <c r="Y89" s="7">
        <v>0</v>
      </c>
      <c r="Z89" s="7">
        <v>332.95</v>
      </c>
    </row>
    <row r="90" spans="1:26" ht="17.5" x14ac:dyDescent="0.35">
      <c r="A90" s="7" t="s">
        <v>27</v>
      </c>
      <c r="B90" s="7" t="s">
        <v>36</v>
      </c>
      <c r="C90" s="7" t="s">
        <v>47</v>
      </c>
      <c r="D90" s="7" t="s">
        <v>48</v>
      </c>
      <c r="E90" s="7" t="s">
        <v>38</v>
      </c>
      <c r="F90" s="7" t="s">
        <v>57</v>
      </c>
      <c r="G90" s="7">
        <v>2021</v>
      </c>
      <c r="H90" s="7" t="str">
        <f>CONCATENATE("14241157032")</f>
        <v>14241157032</v>
      </c>
      <c r="I90" s="7" t="s">
        <v>40</v>
      </c>
      <c r="J90" s="7" t="s">
        <v>31</v>
      </c>
      <c r="K90" s="7" t="str">
        <f>CONCATENATE("")</f>
        <v/>
      </c>
      <c r="L90" s="7" t="str">
        <f>CONCATENATE("11 11.2 4b")</f>
        <v>11 11.2 4b</v>
      </c>
      <c r="M90" s="7" t="str">
        <f>CONCATENATE("01931040438")</f>
        <v>01931040438</v>
      </c>
      <c r="N90" s="7" t="s">
        <v>156</v>
      </c>
      <c r="O90" s="7" t="s">
        <v>73</v>
      </c>
      <c r="P90" s="8">
        <v>44700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7">
        <v>977.99</v>
      </c>
      <c r="W90" s="7">
        <v>421.71</v>
      </c>
      <c r="X90" s="7">
        <v>389.44</v>
      </c>
      <c r="Y90" s="7">
        <v>0</v>
      </c>
      <c r="Z90" s="7">
        <v>166.84</v>
      </c>
    </row>
    <row r="91" spans="1:26" x14ac:dyDescent="0.35">
      <c r="A91" s="7" t="s">
        <v>27</v>
      </c>
      <c r="B91" s="7" t="s">
        <v>36</v>
      </c>
      <c r="C91" s="7" t="s">
        <v>47</v>
      </c>
      <c r="D91" s="7" t="s">
        <v>48</v>
      </c>
      <c r="E91" s="7" t="s">
        <v>29</v>
      </c>
      <c r="F91" s="7" t="s">
        <v>105</v>
      </c>
      <c r="G91" s="7">
        <v>2021</v>
      </c>
      <c r="H91" s="7" t="str">
        <f>CONCATENATE("14240931429")</f>
        <v>14240931429</v>
      </c>
      <c r="I91" s="7" t="s">
        <v>40</v>
      </c>
      <c r="J91" s="7" t="s">
        <v>31</v>
      </c>
      <c r="K91" s="7" t="str">
        <f>CONCATENATE("")</f>
        <v/>
      </c>
      <c r="L91" s="7" t="str">
        <f>CONCATENATE("11 11.2 4b")</f>
        <v>11 11.2 4b</v>
      </c>
      <c r="M91" s="7" t="str">
        <f>CONCATENATE("RNZRLA65D09B474J")</f>
        <v>RNZRLA65D09B474J</v>
      </c>
      <c r="N91" s="7" t="s">
        <v>157</v>
      </c>
      <c r="O91" s="7" t="s">
        <v>73</v>
      </c>
      <c r="P91" s="8">
        <v>44700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7">
        <v>203.67</v>
      </c>
      <c r="W91" s="7">
        <v>87.82</v>
      </c>
      <c r="X91" s="7">
        <v>81.099999999999994</v>
      </c>
      <c r="Y91" s="7">
        <v>0</v>
      </c>
      <c r="Z91" s="7">
        <v>34.75</v>
      </c>
    </row>
    <row r="92" spans="1:26" x14ac:dyDescent="0.35">
      <c r="A92" s="7" t="s">
        <v>27</v>
      </c>
      <c r="B92" s="7" t="s">
        <v>36</v>
      </c>
      <c r="C92" s="7" t="s">
        <v>47</v>
      </c>
      <c r="D92" s="7" t="s">
        <v>51</v>
      </c>
      <c r="E92" s="7" t="s">
        <v>29</v>
      </c>
      <c r="F92" s="7" t="s">
        <v>158</v>
      </c>
      <c r="G92" s="7">
        <v>2021</v>
      </c>
      <c r="H92" s="7" t="str">
        <f>CONCATENATE("14241738146")</f>
        <v>14241738146</v>
      </c>
      <c r="I92" s="7" t="s">
        <v>30</v>
      </c>
      <c r="J92" s="7" t="s">
        <v>31</v>
      </c>
      <c r="K92" s="7" t="str">
        <f>CONCATENATE("")</f>
        <v/>
      </c>
      <c r="L92" s="7" t="str">
        <f>CONCATENATE("11 11.1 4b")</f>
        <v>11 11.1 4b</v>
      </c>
      <c r="M92" s="7" t="str">
        <f>CONCATENATE("BRCMRA54R16H949G")</f>
        <v>BRCMRA54R16H949G</v>
      </c>
      <c r="N92" s="7" t="s">
        <v>159</v>
      </c>
      <c r="O92" s="7" t="s">
        <v>73</v>
      </c>
      <c r="P92" s="8">
        <v>44700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5994.85</v>
      </c>
      <c r="W92" s="9">
        <v>2584.98</v>
      </c>
      <c r="X92" s="9">
        <v>2387.15</v>
      </c>
      <c r="Y92" s="7">
        <v>0</v>
      </c>
      <c r="Z92" s="9">
        <v>1022.72</v>
      </c>
    </row>
    <row r="93" spans="1:26" x14ac:dyDescent="0.35">
      <c r="A93" s="7" t="s">
        <v>27</v>
      </c>
      <c r="B93" s="7" t="s">
        <v>36</v>
      </c>
      <c r="C93" s="7" t="s">
        <v>47</v>
      </c>
      <c r="D93" s="7" t="s">
        <v>48</v>
      </c>
      <c r="E93" s="7" t="s">
        <v>38</v>
      </c>
      <c r="F93" s="7" t="s">
        <v>81</v>
      </c>
      <c r="G93" s="7">
        <v>2021</v>
      </c>
      <c r="H93" s="7" t="str">
        <f>CONCATENATE("14241369470")</f>
        <v>14241369470</v>
      </c>
      <c r="I93" s="7" t="s">
        <v>30</v>
      </c>
      <c r="J93" s="7" t="s">
        <v>31</v>
      </c>
      <c r="K93" s="7" t="str">
        <f>CONCATENATE("")</f>
        <v/>
      </c>
      <c r="L93" s="7" t="str">
        <f>CONCATENATE("11 11.2 4b")</f>
        <v>11 11.2 4b</v>
      </c>
      <c r="M93" s="7" t="str">
        <f>CONCATENATE("BRSDLF63E06I436O")</f>
        <v>BRSDLF63E06I436O</v>
      </c>
      <c r="N93" s="7" t="s">
        <v>160</v>
      </c>
      <c r="O93" s="7" t="s">
        <v>161</v>
      </c>
      <c r="P93" s="8">
        <v>44665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32456.01</v>
      </c>
      <c r="W93" s="9">
        <v>13995.03</v>
      </c>
      <c r="X93" s="9">
        <v>12923.98</v>
      </c>
      <c r="Y93" s="7">
        <v>0</v>
      </c>
      <c r="Z93" s="9">
        <v>5537</v>
      </c>
    </row>
    <row r="94" spans="1:26" x14ac:dyDescent="0.35">
      <c r="A94" s="7" t="s">
        <v>27</v>
      </c>
      <c r="B94" s="7" t="s">
        <v>28</v>
      </c>
      <c r="C94" s="7" t="s">
        <v>47</v>
      </c>
      <c r="D94" s="7" t="s">
        <v>48</v>
      </c>
      <c r="E94" s="7" t="s">
        <v>43</v>
      </c>
      <c r="F94" s="7" t="s">
        <v>43</v>
      </c>
      <c r="G94" s="7">
        <v>2017</v>
      </c>
      <c r="H94" s="7" t="str">
        <f>CONCATENATE("24270055296")</f>
        <v>24270055296</v>
      </c>
      <c r="I94" s="7" t="s">
        <v>30</v>
      </c>
      <c r="J94" s="7" t="s">
        <v>31</v>
      </c>
      <c r="K94" s="7" t="str">
        <f>CONCATENATE("")</f>
        <v/>
      </c>
      <c r="L94" s="7" t="str">
        <f>CONCATENATE("1 1.1 2a")</f>
        <v>1 1.1 2a</v>
      </c>
      <c r="M94" s="7" t="str">
        <f>CONCATENATE("02051370423")</f>
        <v>02051370423</v>
      </c>
      <c r="N94" s="7" t="s">
        <v>162</v>
      </c>
      <c r="O94" s="7" t="s">
        <v>163</v>
      </c>
      <c r="P94" s="8">
        <v>44700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1485</v>
      </c>
      <c r="W94" s="7">
        <v>640.33000000000004</v>
      </c>
      <c r="X94" s="7">
        <v>591.33000000000004</v>
      </c>
      <c r="Y94" s="7">
        <v>0</v>
      </c>
      <c r="Z94" s="7">
        <v>253.34</v>
      </c>
    </row>
    <row r="95" spans="1:26" x14ac:dyDescent="0.35">
      <c r="A95" s="7" t="s">
        <v>27</v>
      </c>
      <c r="B95" s="7" t="s">
        <v>28</v>
      </c>
      <c r="C95" s="7" t="s">
        <v>47</v>
      </c>
      <c r="D95" s="7" t="s">
        <v>48</v>
      </c>
      <c r="E95" s="7" t="s">
        <v>43</v>
      </c>
      <c r="F95" s="7" t="s">
        <v>43</v>
      </c>
      <c r="G95" s="7">
        <v>2017</v>
      </c>
      <c r="H95" s="7" t="str">
        <f>CONCATENATE("24270055304")</f>
        <v>24270055304</v>
      </c>
      <c r="I95" s="7" t="s">
        <v>30</v>
      </c>
      <c r="J95" s="7" t="s">
        <v>31</v>
      </c>
      <c r="K95" s="7" t="str">
        <f>CONCATENATE("")</f>
        <v/>
      </c>
      <c r="L95" s="7" t="str">
        <f>CONCATENATE("1 1.1 2a")</f>
        <v>1 1.1 2a</v>
      </c>
      <c r="M95" s="7" t="str">
        <f>CONCATENATE("02051370423")</f>
        <v>02051370423</v>
      </c>
      <c r="N95" s="7" t="s">
        <v>162</v>
      </c>
      <c r="O95" s="7" t="s">
        <v>163</v>
      </c>
      <c r="P95" s="8">
        <v>44700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1232</v>
      </c>
      <c r="W95" s="7">
        <v>531.24</v>
      </c>
      <c r="X95" s="7">
        <v>490.58</v>
      </c>
      <c r="Y95" s="7">
        <v>0</v>
      </c>
      <c r="Z95" s="7">
        <v>210.18</v>
      </c>
    </row>
    <row r="96" spans="1:26" x14ac:dyDescent="0.35">
      <c r="A96" s="7" t="s">
        <v>27</v>
      </c>
      <c r="B96" s="7" t="s">
        <v>28</v>
      </c>
      <c r="C96" s="7" t="s">
        <v>47</v>
      </c>
      <c r="D96" s="7" t="s">
        <v>47</v>
      </c>
      <c r="E96" s="7" t="s">
        <v>43</v>
      </c>
      <c r="F96" s="7" t="s">
        <v>43</v>
      </c>
      <c r="G96" s="7">
        <v>2017</v>
      </c>
      <c r="H96" s="7" t="str">
        <f>CONCATENATE("24270070204")</f>
        <v>24270070204</v>
      </c>
      <c r="I96" s="7" t="s">
        <v>30</v>
      </c>
      <c r="J96" s="7" t="s">
        <v>31</v>
      </c>
      <c r="K96" s="7" t="str">
        <f>CONCATENATE("")</f>
        <v/>
      </c>
      <c r="L96" s="7" t="str">
        <f>CONCATENATE("19 19.2 6b")</f>
        <v>19 19.2 6b</v>
      </c>
      <c r="M96" s="7" t="str">
        <f>CONCATENATE("BRBDVD68D09G479X")</f>
        <v>BRBDVD68D09G479X</v>
      </c>
      <c r="N96" s="7" t="s">
        <v>164</v>
      </c>
      <c r="O96" s="7" t="s">
        <v>165</v>
      </c>
      <c r="P96" s="8">
        <v>44701</v>
      </c>
      <c r="Q96" s="7" t="s">
        <v>32</v>
      </c>
      <c r="R96" s="7" t="s">
        <v>45</v>
      </c>
      <c r="S96" s="7" t="s">
        <v>34</v>
      </c>
      <c r="T96" s="7"/>
      <c r="U96" s="7" t="s">
        <v>35</v>
      </c>
      <c r="V96" s="9">
        <v>15000</v>
      </c>
      <c r="W96" s="9">
        <v>6468</v>
      </c>
      <c r="X96" s="9">
        <v>5973</v>
      </c>
      <c r="Y96" s="7">
        <v>0</v>
      </c>
      <c r="Z96" s="9">
        <v>2559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42267</vt:lpwstr>
  </property>
  <property fmtid="{D5CDD505-2E9C-101B-9397-08002B2CF9AE}" pid="4" name="OptimizationTime">
    <vt:lpwstr>20220606_1453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2022-06-01T11:06:26Z</dcterms:created>
  <dcterms:modified xsi:type="dcterms:W3CDTF">2022-06-01T11:07:11Z</dcterms:modified>
</cp:coreProperties>
</file>