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33/"/>
    </mc:Choice>
  </mc:AlternateContent>
  <xr:revisionPtr revIDLastSave="0" documentId="8_{7AD1A540-B354-488E-A100-313314852770}" xr6:coauthVersionLast="46" xr6:coauthVersionMax="46" xr10:uidLastSave="{00000000-0000-0000-0000-000000000000}"/>
  <bookViews>
    <workbookView xWindow="-110" yWindow="-110" windowWidth="19420" windowHeight="10420" xr2:uid="{F9D56271-21FE-4623-92BD-EDB41811095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1" i="1" l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<sst xmlns="http://schemas.openxmlformats.org/spreadsheetml/2006/main" count="2239" uniqueCount="252">
  <si>
    <t>Dettaglio Domande Pagabili Decreto 533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</si>
  <si>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</si>
  <si>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</si>
  <si>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</si>
  <si>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</si>
  <si>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</si>
  <si>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</si>
  <si>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</si>
  <si>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</si>
  <si>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</si>
  <si>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</si>
  <si>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</si>
  <si>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</si>
  <si>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</si>
  <si>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</si>
  <si>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</si>
  <si>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</si>
  <si>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</si>
  <si>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</si>
  <si>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</si>
  <si>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</si>
  <si>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</si>
  <si>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</si>
  <si>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</si>
  <si>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</si>
  <si>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</si>
  <si>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</si>
  <si>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</si>
  <si>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</si>
  <si>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Confagricoltura srl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</si>
  <si>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</si>
  <si>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</si>
  <si>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</si>
  <si>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</si>
  <si>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</si>
  <si>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</si>
  <si>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</si>
  <si>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Anticipo</t>
  </si>
  <si>
    <t>CAA Coldiretti srl</t>
  </si>
  <si>
    <t>CAA CIA srl</t>
  </si>
  <si>
    <t>SAL</t>
  </si>
  <si>
    <t>Misure a Superficie</t>
  </si>
  <si>
    <t>CAA LiberiAgricoltori srl già CAA AGCI srl</t>
  </si>
  <si>
    <t>CAA UNICAA srl</t>
  </si>
  <si>
    <t>CAA-CAF AGRI S.R.L.</t>
  </si>
  <si>
    <t>SI</t>
  </si>
  <si>
    <t>MARCHE</t>
  </si>
  <si>
    <t>SERV. DEC. AGRICOLTURA E ALIM. -ASCOLI PICENO</t>
  </si>
  <si>
    <t>CAA Coldiretti - FERMO - 001</t>
  </si>
  <si>
    <t>POLINI DANIELE</t>
  </si>
  <si>
    <t>AGEA.ASR.2022.0335490</t>
  </si>
  <si>
    <t>SOCIETA' AGRICOLA D'ERCOLI ROBERTO E DANIELE SOCIETA' SEMPLICE</t>
  </si>
  <si>
    <t>AGEA.ASR.2022.0342195</t>
  </si>
  <si>
    <t>CAA UNICAA - ASCOLI PICENO - 004</t>
  </si>
  <si>
    <t>SOCIETA' AGRICOLA MARCHETTI TOMMASO ED ETTORE SOCIETA' SEMPLICE</t>
  </si>
  <si>
    <t>AGEA.ASR.2022.0342935</t>
  </si>
  <si>
    <t>LANCIOTTI MARCO</t>
  </si>
  <si>
    <t>SERV. DEC. AGRICOLTURA E ALIMENTAZIONE - PESARO</t>
  </si>
  <si>
    <t>CAA CIA - PESARO E URBINO - 003</t>
  </si>
  <si>
    <t>MANUNTA ANTONIO FRANCESCO</t>
  </si>
  <si>
    <t>PANTALONI FEDERICA</t>
  </si>
  <si>
    <t>COMUNE DI CUPRA MARITTIMA</t>
  </si>
  <si>
    <t>AGEA.ASR.2022.0336272</t>
  </si>
  <si>
    <t>SERV. DEC. AGRICOLTURA E ALIM. - MACERATA</t>
  </si>
  <si>
    <t>FELIZIANI ALDO</t>
  </si>
  <si>
    <t>SERV. DEC. AGRICOLTURA E ALIMENTAZIONE - ANCONA</t>
  </si>
  <si>
    <t>CAA Confagricoltura - ANCONA - 001</t>
  </si>
  <si>
    <t>TRIONFI HONORATI ANTONIO SOCIETA' A RESPONSABILITA' LIMITATA - SOCIETA</t>
  </si>
  <si>
    <t>AGEA.ASR.2022.0338407</t>
  </si>
  <si>
    <t>SPINELLI SIMONE</t>
  </si>
  <si>
    <t>TRAINI FRANCESCO</t>
  </si>
  <si>
    <t>CAA CIA - ANCONA - 004</t>
  </si>
  <si>
    <t>ABBRUCIATI LIBERO</t>
  </si>
  <si>
    <t>CAA Coldiretti - ANCONA - 006</t>
  </si>
  <si>
    <t>SOCIETA' AGRICOLA BIOLOGICA FILENI SRL</t>
  </si>
  <si>
    <t>CAA CIA - ANCONA - 005</t>
  </si>
  <si>
    <t>CALDARIGI NICOLAS</t>
  </si>
  <si>
    <t>CAA CAF AGRI - FERMO - 221</t>
  </si>
  <si>
    <t>SRHIR HASSAN</t>
  </si>
  <si>
    <t>SOCIETA' AGRICOLA BARZAGHI F.LLI SNC DI CAPPI VITTORINA E BARZAGHI MAR</t>
  </si>
  <si>
    <t>CAA CIA - ASCOLI PICENO - 001</t>
  </si>
  <si>
    <t>VOLTATTORNI LUCIANO</t>
  </si>
  <si>
    <t>SPALLACCI GIORDANO</t>
  </si>
  <si>
    <t>CAA Confagricoltura - PESARO E URBINO - 001</t>
  </si>
  <si>
    <t>SOCIETA' AGRICOLA LA COLLINA DELLE FATE S.R.L.</t>
  </si>
  <si>
    <t>CAA Coldiretti - MACERATA - 017</t>
  </si>
  <si>
    <t>SOCIETA' AGRICOLA LORENZOTTI GIANCARLO &amp; C. S.S.</t>
  </si>
  <si>
    <t>ILLUMINATI NICOLINO</t>
  </si>
  <si>
    <t>MERCURI MICHELE</t>
  </si>
  <si>
    <t>ROMAGNOLI EUGENIO</t>
  </si>
  <si>
    <t>CARMINUCCI GIOVANNI</t>
  </si>
  <si>
    <t>CAA CAF AGRI - PESARO E URBINO - 221</t>
  </si>
  <si>
    <t>DIOTALLEVI ANDREA</t>
  </si>
  <si>
    <t>CAA Confagricoltura - ASCOLI PICENO - 001</t>
  </si>
  <si>
    <t>CANALI ISA MIRANDA</t>
  </si>
  <si>
    <t>SOCIETA' AGRICOLA FILENI SRL</t>
  </si>
  <si>
    <t>CAA CIA - ANCONA - 002</t>
  </si>
  <si>
    <t>BALDI EMILIANO</t>
  </si>
  <si>
    <t>SOCIETA' AGRICOLA CA' MARIOTTO S.S.</t>
  </si>
  <si>
    <t>BIANCUCCI MICHELE</t>
  </si>
  <si>
    <t>CHERRI PAOLO</t>
  </si>
  <si>
    <t>PIETRINI GRAZIANO</t>
  </si>
  <si>
    <t>CAA CIA - PESARO E URBINO - 005</t>
  </si>
  <si>
    <t>AGUZZI MARZIO</t>
  </si>
  <si>
    <t>SOCIETA' AGRICOLA GEMINI SRL</t>
  </si>
  <si>
    <t>CAA Coldiretti - PESARO E URBINO - 013</t>
  </si>
  <si>
    <t>ROBERTI ALESSANDRO</t>
  </si>
  <si>
    <t>SOCIETA' AGRICOLA LIBERTI GABRIELE &amp; C. S.S.</t>
  </si>
  <si>
    <t>AGEA.ASR.2022.0057669</t>
  </si>
  <si>
    <t>FREDDI LUCIANA</t>
  </si>
  <si>
    <t>CAA Coldiretti - PESARO E URBINO - 006</t>
  </si>
  <si>
    <t>AZIENDA AGRICOLA DEIDDA GIOVANNI E PILIA GIOVANNA SOCIETA' AGRICOLA S.</t>
  </si>
  <si>
    <t>AGEA.ASR.2022.0173332</t>
  </si>
  <si>
    <t>PEROZZI CAMILLO</t>
  </si>
  <si>
    <t>CAA UNICAA - ANCONA - 003</t>
  </si>
  <si>
    <t>BALDINI ALESSANDRA</t>
  </si>
  <si>
    <t>OTTAVI LUIGI</t>
  </si>
  <si>
    <t>CAA CIA - ASCOLI PICENO - 006</t>
  </si>
  <si>
    <t>NOTTOLA VISSIA</t>
  </si>
  <si>
    <t>CARBONI EUGENIO</t>
  </si>
  <si>
    <t>AUSTRALI SOCIETA' SEMPLICE AGRICOLA DI GAGLIARDINI STEFANO E BINI MARC</t>
  </si>
  <si>
    <t>CAA Coldiretti - ASCOLI PICENO - 030</t>
  </si>
  <si>
    <t>TENUTA CA' PIA SOCIETA' AGRICOLA SEMPLICE</t>
  </si>
  <si>
    <t>MICHEL JURGEN</t>
  </si>
  <si>
    <t>CAA CAF AGRI - ASCOLI PICENO - 223</t>
  </si>
  <si>
    <t>MAZZARELLI LUCIANO</t>
  </si>
  <si>
    <t>CAMINONNI MASSIMO</t>
  </si>
  <si>
    <t>CARBONI LUIGINA</t>
  </si>
  <si>
    <t>SOCIETA' AGRICOLA VIRGILI E D'AMICO DI VIRGILI CINZIA E D'AMICO VALERI</t>
  </si>
  <si>
    <t>CAA Coldiretti - ASCOLI PICENO - 025</t>
  </si>
  <si>
    <t>ROSCIOLI BRUNO</t>
  </si>
  <si>
    <t>BORIONI GIULIA</t>
  </si>
  <si>
    <t>CAA CIA - PESARO E URBINO - 006</t>
  </si>
  <si>
    <t>AZIENDA AGRICOLA SAN CESARIO DI PESCI SABINA E NARDELLA MICHELE</t>
  </si>
  <si>
    <t>CAA CAF AGRI - ANCONA - 225</t>
  </si>
  <si>
    <t>SOCIETA' AGRICOLA VALLESINA S.S.</t>
  </si>
  <si>
    <t>CAA CIA - PESARO E URBINO - 008</t>
  </si>
  <si>
    <t>BERARDI GIANCARLO</t>
  </si>
  <si>
    <t>AGEA.ASR.2022.0335173</t>
  </si>
  <si>
    <t>CAA CIA - ASCOLI PICENO - 004</t>
  </si>
  <si>
    <t>DI LORENZO ALESSANDRO</t>
  </si>
  <si>
    <t>MARCONI MICHELE</t>
  </si>
  <si>
    <t>CAA Coldiretti - ANCONA - 001</t>
  </si>
  <si>
    <t>MARINI PAOLO</t>
  </si>
  <si>
    <t>VALLORANI ROSA</t>
  </si>
  <si>
    <t>MORELLI CLAUDIO</t>
  </si>
  <si>
    <t>SOLATIO SOCIETA'SEMPLICE DI CAPRETTI MAURIZIO &amp; RITUCCI MICHELE</t>
  </si>
  <si>
    <t>PEVERINI MASSIMO</t>
  </si>
  <si>
    <t>CAA LiberiAgricoltori - MACERATA - 001</t>
  </si>
  <si>
    <t>SOCIETA' AGRICOLA FIECCHI ADOLFO SOC. SEMPLICE</t>
  </si>
  <si>
    <t>ALEANDRI TIZIANO</t>
  </si>
  <si>
    <t>PALANCA ANGELO</t>
  </si>
  <si>
    <t>VESPERINI EUGENIA</t>
  </si>
  <si>
    <t>CAA Coldiretti - ASCOLI PICENO - 010</t>
  </si>
  <si>
    <t>MICHELI ROSELLA</t>
  </si>
  <si>
    <t>D'ANGELO GIUSEPPE</t>
  </si>
  <si>
    <t>PIERSIMONI ANNA MARINA</t>
  </si>
  <si>
    <t>CAA Coldiretti - MACERATA - 007</t>
  </si>
  <si>
    <t>LOSANI CATERINA</t>
  </si>
  <si>
    <t>ABBRUZZETTI AGRICOLA SOCIETA' AGRICOLA SEMPLICE</t>
  </si>
  <si>
    <t>CASTELLI MATTEO</t>
  </si>
  <si>
    <t>CAA AGRISERVIZI s.r.l.</t>
  </si>
  <si>
    <t>CAA AGRISERVIZI - LATINA - 001</t>
  </si>
  <si>
    <t>SOCIETA' AGRICOLA "LA PALUDA" DI PALUDANUS &amp; MAACK SOCIETA' SEMPLICE</t>
  </si>
  <si>
    <t>ROMITI RENATO</t>
  </si>
  <si>
    <t>MAGNONI DOMENICO</t>
  </si>
  <si>
    <t>CAA Coldiretti - PESARO E URBINO - 001</t>
  </si>
  <si>
    <t>CANCELLIERI AUGUSTO</t>
  </si>
  <si>
    <t>CAA LiberiAgricoltori - PESARO E URBINO - 002</t>
  </si>
  <si>
    <t>LUZI ALBERTO</t>
  </si>
  <si>
    <t>SOCIETA' AGRICOLA BRUSCIA S.S</t>
  </si>
  <si>
    <t>PECCI DANIELE</t>
  </si>
  <si>
    <t>CATINCA ALEXANDRA MIHAELA</t>
  </si>
  <si>
    <t>CIPRIANI UGO</t>
  </si>
  <si>
    <t>MARCONI ANGELA</t>
  </si>
  <si>
    <t>CESARETTI GABRIELLA</t>
  </si>
  <si>
    <t>AZIENDA AGRICOLA DI FALCIONI MAURIZIO E FALCIONI GABRIELE -S.S.</t>
  </si>
  <si>
    <t>SOCIETA' AGRICOLA CASEARIA COLLE OSTRENSE S.S.</t>
  </si>
  <si>
    <t>CASTELBARCO ALBANI VISCONTI SIMONETTA CLEMENTE</t>
  </si>
  <si>
    <t>RUIU GIUSEPPE</t>
  </si>
  <si>
    <t>COMUNE DI MUCCIA</t>
  </si>
  <si>
    <t>AGEA.ASR.2022.0336258</t>
  </si>
  <si>
    <t>SOCIETA' AGRICOLA ROMITI SOCIETA' SEMPLICE</t>
  </si>
  <si>
    <t>CAA Coldiretti - PESARO E URBINO - 010</t>
  </si>
  <si>
    <t>GUERRA MASSIMO</t>
  </si>
  <si>
    <t>CAA CIA - PESARO E URBINO - 002</t>
  </si>
  <si>
    <t>FINOCCHI FABRIZIO</t>
  </si>
  <si>
    <t>CAA CIA - PESARO E URBINO - 007</t>
  </si>
  <si>
    <t>PROCACCINI ALFONSO</t>
  </si>
  <si>
    <t>INNOCENZI GIANCARLO</t>
  </si>
  <si>
    <t>AGEA.ASR.2022.0342514</t>
  </si>
  <si>
    <t>BONETTI ERNESTO</t>
  </si>
  <si>
    <t>SOCIETA' AGRICOLA CONTARDI DI CONTARDI TONINO E CORREANI ANNA S. S.</t>
  </si>
  <si>
    <t>PARRI SANTE</t>
  </si>
  <si>
    <t>TANGANELLI FRANCA</t>
  </si>
  <si>
    <t>PALAZZINI ALESSANDRO</t>
  </si>
  <si>
    <t>AGEA.ASR.2022.0342930</t>
  </si>
  <si>
    <t>PIERFRANCESCHI UBALDO</t>
  </si>
  <si>
    <t>SOCIETA' AGRICOLA CA' SERRANTONIO DEI F.LLI FORMICA S.S.</t>
  </si>
  <si>
    <t>URBINATI ROSALBA</t>
  </si>
  <si>
    <t>VEGLIO' TAMARA</t>
  </si>
  <si>
    <t>AZ. AGR. CASTELVECCHIO DI MAGNONI GIOVANNI E C. SOC. SEMPLIC</t>
  </si>
  <si>
    <t>BRICCA PIERANGELO</t>
  </si>
  <si>
    <t>PIERSIGILLI SAURO</t>
  </si>
  <si>
    <t>AZ.AGR.MANOCCHI MARCELLO E MARCO</t>
  </si>
  <si>
    <t>J.P. S.R.L.</t>
  </si>
  <si>
    <t>FULVI FRANCESCO</t>
  </si>
  <si>
    <t>PAOLUCCI OVIDIO</t>
  </si>
  <si>
    <t>COLUMBU MARIA PASQUA</t>
  </si>
  <si>
    <t>MENTUCCI MARCO</t>
  </si>
  <si>
    <t>FATTORINI PAOLA</t>
  </si>
  <si>
    <t>CAA CAF AGRI - ANCONA - 221</t>
  </si>
  <si>
    <t>GIANNINI GIORGIO</t>
  </si>
  <si>
    <t>AZIENDA AGRICOLA AGOSTINI DI AGOSTINI MATTEO &amp; C. S.N.C.</t>
  </si>
  <si>
    <t>AZIENDA AGRICOLA ROVEGLIANO SOCIETA' SEMPLICE AGRICOLA DI MARASCA LUCA</t>
  </si>
  <si>
    <t>CAA Confagricoltura - MACERATA - 001</t>
  </si>
  <si>
    <t>CORVATTA RITA</t>
  </si>
  <si>
    <t>SOCIETA' AGRICOLA SAN BIAGIOLO S.R.L.</t>
  </si>
  <si>
    <t>MONTALBINI MARINO</t>
  </si>
  <si>
    <t>SOCIETA' AGRICOLA SANDRONI S.S.</t>
  </si>
  <si>
    <t>TADDEI FAUSTO</t>
  </si>
  <si>
    <t>MANIERI DAVIDE</t>
  </si>
  <si>
    <t>CAA CAF AGRI - ANCONA - 224</t>
  </si>
  <si>
    <t>BORA FRANCESCO</t>
  </si>
  <si>
    <t>CAA Coldiretti - ANCONA - 003</t>
  </si>
  <si>
    <t>SABBATINI ROSSETTI LUCA</t>
  </si>
  <si>
    <t>PALOMBI TONINO</t>
  </si>
  <si>
    <t>AGEA.ASR.2022.0262308</t>
  </si>
  <si>
    <t>RICCI ANNA LUISA</t>
  </si>
  <si>
    <t>PAOLUCCI LUCIANO</t>
  </si>
  <si>
    <t>LAMETTI ROSA</t>
  </si>
  <si>
    <t>BERRIA GIOVANNI ANTONIO E C. SOCIETA' AGRICOLA</t>
  </si>
  <si>
    <t>CAA Coldiretti - PESARO E URBINO - 004</t>
  </si>
  <si>
    <t>MARCHIONNI DAVIDE</t>
  </si>
  <si>
    <t>FARRIS CHIARA</t>
  </si>
  <si>
    <t>BAGIACCHI FEDERICO</t>
  </si>
  <si>
    <t>ALBANI ALBERTO</t>
  </si>
  <si>
    <t>AMICI ALESSANDRO</t>
  </si>
  <si>
    <t>ANGELI GIOVANNI</t>
  </si>
  <si>
    <t>ROSSI NICCOLA</t>
  </si>
  <si>
    <t>SOCIETA' AGRICOLA GIROLAMI STEFANIA E SONIA S.S.</t>
  </si>
  <si>
    <t>CAA LiberiAgricoltori - MACERATA - 002</t>
  </si>
  <si>
    <t>SOCIETA' AGRICOLA MAGGI GILBERTO, MASSIMO E STEFANO S.S.</t>
  </si>
  <si>
    <t>BENEDETTI LEONARDO</t>
  </si>
  <si>
    <t>MORETTI STEFANIA</t>
  </si>
  <si>
    <t>MOSCETTI NULLI EMILIANO</t>
  </si>
  <si>
    <t>SCOLASTICI ROBERTO</t>
  </si>
  <si>
    <t>SEPI EMANUELE</t>
  </si>
  <si>
    <t>CAA LiberiAgricoltori - MACERATA - 003</t>
  </si>
  <si>
    <t>VENANZANGELI PIERA</t>
  </si>
  <si>
    <t>SBARDELLATI LAMBERTO</t>
  </si>
  <si>
    <t>SOCIETA' AGRICOLA PALANCA IVANO E LORENZOTTI TIZIANA &amp; C.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</si>
</sst>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1DD5-CFA8-46DE-B194-30446FB0F378}">
  <dimension ref="A1:Z161"/>
  <sheetViews>
    <sheetView showGridLines="0" tabSelected="1" workbookViewId="0">
      <selection activeCell="D165" sqref="D165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46</v>
      </c>
      <c r="D4" s="7" t="s">
        <v>47</v>
      </c>
      <c r="E4" s="7" t="s">
        <v>38</v>
      </c>
      <c r="F4" s="7" t="s">
        <v>48</v>
      </c>
      <c r="G4" s="7">
        <v>2017</v>
      </c>
      <c r="H4" s="7" t="str">
        <f>CONCATENATE("14270363634")</f>
        <v>14270363634</v>
      </c>
      <c r="I4" s="7" t="s">
        <v>30</v>
      </c>
      <c r="J4" s="7" t="s">
        <v>31</v>
      </c>
      <c r="K4" s="7" t="str">
        <f>CONCATENATE("")</f>
        <v/>
      </c>
      <c r="L4" s="7" t="str">
        <f>CONCATENATE("4 4.1 2a")</f>
        <v>4 4.1 2a</v>
      </c>
      <c r="M4" s="7" t="str">
        <f>CONCATENATE("PLNDNL83E28D542P")</f>
        <v>PLNDNL83E28D542P</v>
      </c>
      <c r="N4" s="7" t="s">
        <v>49</v>
      </c>
      <c r="O4" s="7" t="s">
        <v>50</v>
      </c>
      <c r="P4" s="8">
        <v>44642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4514.3</v>
      </c>
      <c r="W4" s="9">
        <v>1946.57</v>
      </c>
      <c r="X4" s="9">
        <v>1797.59</v>
      </c>
      <c r="Y4" s="7">
        <v>0</v>
      </c>
      <c r="Z4" s="7">
        <v>770.14</v>
      </c>
    </row>
    <row r="5" spans="1:26" x14ac:dyDescent="0.35">
      <c r="A5" s="7" t="s">
        <v>27</v>
      </c>
      <c r="B5" s="7" t="s">
        <v>41</v>
      </c>
      <c r="C5" s="7" t="s">
        <v>46</v>
      </c>
      <c r="D5" s="7" t="s">
        <v>47</v>
      </c>
      <c r="E5" s="7" t="s">
        <v>36</v>
      </c>
      <c r="F5" s="7" t="s">
        <v>36</v>
      </c>
      <c r="G5" s="7">
        <v>2021</v>
      </c>
      <c r="H5" s="7" t="str">
        <f>CONCATENATE("14240766155")</f>
        <v>14240766155</v>
      </c>
      <c r="I5" s="7" t="s">
        <v>30</v>
      </c>
      <c r="J5" s="7" t="s">
        <v>31</v>
      </c>
      <c r="K5" s="7" t="str">
        <f>CONCATENATE("")</f>
        <v/>
      </c>
      <c r="L5" s="7" t="str">
        <f>CONCATENATE("10 10.1 4b")</f>
        <v>10 10.1 4b</v>
      </c>
      <c r="M5" s="7" t="str">
        <f>CONCATENATE("01230310441")</f>
        <v>01230310441</v>
      </c>
      <c r="N5" s="7" t="s">
        <v>51</v>
      </c>
      <c r="O5" s="7" t="s">
        <v>52</v>
      </c>
      <c r="P5" s="8">
        <v>44642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1601.93</v>
      </c>
      <c r="W5" s="7">
        <v>690.75</v>
      </c>
      <c r="X5" s="7">
        <v>637.89</v>
      </c>
      <c r="Y5" s="7">
        <v>0</v>
      </c>
      <c r="Z5" s="7">
        <v>273.29000000000002</v>
      </c>
    </row>
    <row r="6" spans="1:26" ht="17.5" x14ac:dyDescent="0.35">
      <c r="A6" s="7" t="s">
        <v>27</v>
      </c>
      <c r="B6" s="7" t="s">
        <v>41</v>
      </c>
      <c r="C6" s="7" t="s">
        <v>46</v>
      </c>
      <c r="D6" s="7" t="s">
        <v>47</v>
      </c>
      <c r="E6" s="7" t="s">
        <v>43</v>
      </c>
      <c r="F6" s="7" t="s">
        <v>53</v>
      </c>
      <c r="G6" s="7">
        <v>2021</v>
      </c>
      <c r="H6" s="7" t="str">
        <f>CONCATENATE("14240864265")</f>
        <v>14240864265</v>
      </c>
      <c r="I6" s="7" t="s">
        <v>30</v>
      </c>
      <c r="J6" s="7" t="s">
        <v>31</v>
      </c>
      <c r="K6" s="7" t="str">
        <f>CONCATENATE("")</f>
        <v/>
      </c>
      <c r="L6" s="7" t="str">
        <f>CONCATENATE("11 11.2 4b")</f>
        <v>11 11.2 4b</v>
      </c>
      <c r="M6" s="7" t="str">
        <f>CONCATENATE("02041440443")</f>
        <v>02041440443</v>
      </c>
      <c r="N6" s="7" t="s">
        <v>54</v>
      </c>
      <c r="O6" s="7" t="s">
        <v>55</v>
      </c>
      <c r="P6" s="8">
        <v>44642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2072.9899999999998</v>
      </c>
      <c r="W6" s="7">
        <v>893.87</v>
      </c>
      <c r="X6" s="7">
        <v>825.46</v>
      </c>
      <c r="Y6" s="7">
        <v>0</v>
      </c>
      <c r="Z6" s="7">
        <v>353.66</v>
      </c>
    </row>
    <row r="7" spans="1:26" x14ac:dyDescent="0.35">
      <c r="A7" s="7" t="s">
        <v>27</v>
      </c>
      <c r="B7" s="7" t="s">
        <v>41</v>
      </c>
      <c r="C7" s="7" t="s">
        <v>46</v>
      </c>
      <c r="D7" s="7" t="s">
        <v>47</v>
      </c>
      <c r="E7" s="7" t="s">
        <v>36</v>
      </c>
      <c r="F7" s="7" t="s">
        <v>36</v>
      </c>
      <c r="G7" s="7">
        <v>2021</v>
      </c>
      <c r="H7" s="7" t="str">
        <f>CONCATENATE("14240668716")</f>
        <v>14240668716</v>
      </c>
      <c r="I7" s="7" t="s">
        <v>45</v>
      </c>
      <c r="J7" s="7" t="s">
        <v>31</v>
      </c>
      <c r="K7" s="7" t="str">
        <f>CONCATENATE("")</f>
        <v/>
      </c>
      <c r="L7" s="7" t="str">
        <f>CONCATENATE("11 11.2 4b")</f>
        <v>11 11.2 4b</v>
      </c>
      <c r="M7" s="7" t="str">
        <f>CONCATENATE("LNCMRC66E26G005H")</f>
        <v>LNCMRC66E26G005H</v>
      </c>
      <c r="N7" s="7" t="s">
        <v>56</v>
      </c>
      <c r="O7" s="7" t="s">
        <v>55</v>
      </c>
      <c r="P7" s="8">
        <v>44642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7">
        <v>542.9</v>
      </c>
      <c r="W7" s="7">
        <v>234.1</v>
      </c>
      <c r="X7" s="7">
        <v>216.18</v>
      </c>
      <c r="Y7" s="7">
        <v>0</v>
      </c>
      <c r="Z7" s="7">
        <v>92.62</v>
      </c>
    </row>
    <row r="8" spans="1:26" x14ac:dyDescent="0.35">
      <c r="A8" s="7" t="s">
        <v>27</v>
      </c>
      <c r="B8" s="7" t="s">
        <v>41</v>
      </c>
      <c r="C8" s="7" t="s">
        <v>46</v>
      </c>
      <c r="D8" s="7" t="s">
        <v>57</v>
      </c>
      <c r="E8" s="7" t="s">
        <v>39</v>
      </c>
      <c r="F8" s="7" t="s">
        <v>58</v>
      </c>
      <c r="G8" s="7">
        <v>2021</v>
      </c>
      <c r="H8" s="7" t="str">
        <f>CONCATENATE("14241062562")</f>
        <v>14241062562</v>
      </c>
      <c r="I8" s="7" t="s">
        <v>30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CONCATENATE("MNNNNF75L15F979B")</f>
        <v>MNNNNF75L15F979B</v>
      </c>
      <c r="N8" s="7" t="s">
        <v>59</v>
      </c>
      <c r="O8" s="7" t="s">
        <v>55</v>
      </c>
      <c r="P8" s="8">
        <v>44642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2984.14</v>
      </c>
      <c r="W8" s="9">
        <v>1286.76</v>
      </c>
      <c r="X8" s="9">
        <v>1188.28</v>
      </c>
      <c r="Y8" s="7">
        <v>0</v>
      </c>
      <c r="Z8" s="7">
        <v>509.1</v>
      </c>
    </row>
    <row r="9" spans="1:26" x14ac:dyDescent="0.35">
      <c r="A9" s="7" t="s">
        <v>27</v>
      </c>
      <c r="B9" s="7" t="s">
        <v>41</v>
      </c>
      <c r="C9" s="7" t="s">
        <v>46</v>
      </c>
      <c r="D9" s="7" t="s">
        <v>47</v>
      </c>
      <c r="E9" s="7" t="s">
        <v>43</v>
      </c>
      <c r="F9" s="7" t="s">
        <v>53</v>
      </c>
      <c r="G9" s="7">
        <v>2021</v>
      </c>
      <c r="H9" s="7" t="str">
        <f>CONCATENATE("14240711151")</f>
        <v>14240711151</v>
      </c>
      <c r="I9" s="7" t="s">
        <v>30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CONCATENATE("PNTFRC83B61A462P")</f>
        <v>PNTFRC83B61A462P</v>
      </c>
      <c r="N9" s="7" t="s">
        <v>60</v>
      </c>
      <c r="O9" s="7" t="s">
        <v>55</v>
      </c>
      <c r="P9" s="8">
        <v>44642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1722.49</v>
      </c>
      <c r="W9" s="7">
        <v>742.74</v>
      </c>
      <c r="X9" s="7">
        <v>685.9</v>
      </c>
      <c r="Y9" s="7">
        <v>0</v>
      </c>
      <c r="Z9" s="7">
        <v>293.85000000000002</v>
      </c>
    </row>
    <row r="10" spans="1:26" x14ac:dyDescent="0.35">
      <c r="A10" s="7" t="s">
        <v>27</v>
      </c>
      <c r="B10" s="7" t="s">
        <v>41</v>
      </c>
      <c r="C10" s="7" t="s">
        <v>46</v>
      </c>
      <c r="D10" s="7" t="s">
        <v>47</v>
      </c>
      <c r="E10" s="7" t="s">
        <v>43</v>
      </c>
      <c r="F10" s="7" t="s">
        <v>53</v>
      </c>
      <c r="G10" s="7">
        <v>2021</v>
      </c>
      <c r="H10" s="7" t="str">
        <f>CONCATENATE("14240711524")</f>
        <v>14240711524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CONCATENATE("PNTFRC83B61A462P")</f>
        <v>PNTFRC83B61A462P</v>
      </c>
      <c r="N10" s="7" t="s">
        <v>60</v>
      </c>
      <c r="O10" s="7" t="s">
        <v>55</v>
      </c>
      <c r="P10" s="8">
        <v>44642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1236.9000000000001</v>
      </c>
      <c r="W10" s="7">
        <v>533.35</v>
      </c>
      <c r="X10" s="7">
        <v>492.53</v>
      </c>
      <c r="Y10" s="7">
        <v>0</v>
      </c>
      <c r="Z10" s="7">
        <v>211.02</v>
      </c>
    </row>
    <row r="11" spans="1:26" x14ac:dyDescent="0.35">
      <c r="A11" s="7" t="s">
        <v>27</v>
      </c>
      <c r="B11" s="7" t="s">
        <v>28</v>
      </c>
      <c r="C11" s="7" t="s">
        <v>46</v>
      </c>
      <c r="D11" s="7" t="s">
        <v>46</v>
      </c>
      <c r="E11" s="7" t="s">
        <v>36</v>
      </c>
      <c r="F11" s="7" t="s">
        <v>36</v>
      </c>
      <c r="G11" s="7">
        <v>2017</v>
      </c>
      <c r="H11" s="7" t="str">
        <f>CONCATENATE("14270363642")</f>
        <v>14270363642</v>
      </c>
      <c r="I11" s="7" t="s">
        <v>30</v>
      </c>
      <c r="J11" s="7" t="s">
        <v>31</v>
      </c>
      <c r="K11" s="7" t="str">
        <f>CONCATENATE("")</f>
        <v/>
      </c>
      <c r="L11" s="7" t="str">
        <f>CONCATENATE("19 19.2 6b")</f>
        <v>19 19.2 6b</v>
      </c>
      <c r="M11" s="7" t="str">
        <f>CONCATENATE("00356330449")</f>
        <v>00356330449</v>
      </c>
      <c r="N11" s="7" t="s">
        <v>61</v>
      </c>
      <c r="O11" s="7" t="s">
        <v>62</v>
      </c>
      <c r="P11" s="8">
        <v>44642</v>
      </c>
      <c r="Q11" s="7" t="s">
        <v>32</v>
      </c>
      <c r="R11" s="7" t="s">
        <v>37</v>
      </c>
      <c r="S11" s="7" t="s">
        <v>34</v>
      </c>
      <c r="T11" s="7"/>
      <c r="U11" s="7" t="s">
        <v>35</v>
      </c>
      <c r="V11" s="9">
        <v>36000</v>
      </c>
      <c r="W11" s="9">
        <v>15523.2</v>
      </c>
      <c r="X11" s="9">
        <v>14335.2</v>
      </c>
      <c r="Y11" s="7">
        <v>0</v>
      </c>
      <c r="Z11" s="9">
        <v>6141.6</v>
      </c>
    </row>
    <row r="12" spans="1:26" x14ac:dyDescent="0.35">
      <c r="A12" s="7" t="s">
        <v>27</v>
      </c>
      <c r="B12" s="7" t="s">
        <v>28</v>
      </c>
      <c r="C12" s="7" t="s">
        <v>46</v>
      </c>
      <c r="D12" s="7" t="s">
        <v>63</v>
      </c>
      <c r="E12" s="7" t="s">
        <v>36</v>
      </c>
      <c r="F12" s="7" t="s">
        <v>36</v>
      </c>
      <c r="G12" s="7">
        <v>2017</v>
      </c>
      <c r="H12" s="7" t="str">
        <f>CONCATENATE("14270363626")</f>
        <v>14270363626</v>
      </c>
      <c r="I12" s="7" t="s">
        <v>30</v>
      </c>
      <c r="J12" s="7" t="s">
        <v>31</v>
      </c>
      <c r="K12" s="7" t="str">
        <f>CONCATENATE("")</f>
        <v/>
      </c>
      <c r="L12" s="7" t="str">
        <f>CONCATENATE("4 4.1 2a")</f>
        <v>4 4.1 2a</v>
      </c>
      <c r="M12" s="7" t="str">
        <f>CONCATENATE("FLZLDA60M21A334P")</f>
        <v>FLZLDA60M21A334P</v>
      </c>
      <c r="N12" s="7" t="s">
        <v>64</v>
      </c>
      <c r="O12" s="7" t="s">
        <v>50</v>
      </c>
      <c r="P12" s="8">
        <v>44642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44316.59</v>
      </c>
      <c r="W12" s="9">
        <v>19109.310000000001</v>
      </c>
      <c r="X12" s="9">
        <v>17646.87</v>
      </c>
      <c r="Y12" s="7">
        <v>0</v>
      </c>
      <c r="Z12" s="9">
        <v>7560.41</v>
      </c>
    </row>
    <row r="13" spans="1:26" ht="17.5" x14ac:dyDescent="0.35">
      <c r="A13" s="7" t="s">
        <v>27</v>
      </c>
      <c r="B13" s="7" t="s">
        <v>41</v>
      </c>
      <c r="C13" s="7" t="s">
        <v>46</v>
      </c>
      <c r="D13" s="7" t="s">
        <v>65</v>
      </c>
      <c r="E13" s="7" t="s">
        <v>29</v>
      </c>
      <c r="F13" s="7" t="s">
        <v>66</v>
      </c>
      <c r="G13" s="7">
        <v>2021</v>
      </c>
      <c r="H13" s="7" t="str">
        <f>CONCATENATE("14241209361")</f>
        <v>14241209361</v>
      </c>
      <c r="I13" s="7" t="s">
        <v>30</v>
      </c>
      <c r="J13" s="7" t="s">
        <v>31</v>
      </c>
      <c r="K13" s="7" t="str">
        <f>CONCATENATE("")</f>
        <v/>
      </c>
      <c r="L13" s="7" t="str">
        <f>CONCATENATE("14 14.1 3a")</f>
        <v>14 14.1 3a</v>
      </c>
      <c r="M13" s="7" t="str">
        <f>CONCATENATE("00136660420")</f>
        <v>00136660420</v>
      </c>
      <c r="N13" s="7" t="s">
        <v>67</v>
      </c>
      <c r="O13" s="7" t="s">
        <v>68</v>
      </c>
      <c r="P13" s="8">
        <v>44642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17175</v>
      </c>
      <c r="W13" s="9">
        <v>7405.86</v>
      </c>
      <c r="X13" s="9">
        <v>6839.09</v>
      </c>
      <c r="Y13" s="7">
        <v>0</v>
      </c>
      <c r="Z13" s="9">
        <v>2930.05</v>
      </c>
    </row>
    <row r="14" spans="1:26" x14ac:dyDescent="0.35">
      <c r="A14" s="7" t="s">
        <v>27</v>
      </c>
      <c r="B14" s="7" t="s">
        <v>41</v>
      </c>
      <c r="C14" s="7" t="s">
        <v>46</v>
      </c>
      <c r="D14" s="7" t="s">
        <v>47</v>
      </c>
      <c r="E14" s="7" t="s">
        <v>36</v>
      </c>
      <c r="F14" s="7" t="s">
        <v>36</v>
      </c>
      <c r="G14" s="7">
        <v>2021</v>
      </c>
      <c r="H14" s="7" t="str">
        <f>CONCATENATE("14240763459")</f>
        <v>14240763459</v>
      </c>
      <c r="I14" s="7" t="s">
        <v>30</v>
      </c>
      <c r="J14" s="7" t="s">
        <v>31</v>
      </c>
      <c r="K14" s="7" t="str">
        <f>CONCATENATE("")</f>
        <v/>
      </c>
      <c r="L14" s="7" t="str">
        <f>CONCATENATE("10 10.1 4b")</f>
        <v>10 10.1 4b</v>
      </c>
      <c r="M14" s="7" t="str">
        <f>CONCATENATE("SPNSMN82S15H769M")</f>
        <v>SPNSMN82S15H769M</v>
      </c>
      <c r="N14" s="7" t="s">
        <v>69</v>
      </c>
      <c r="O14" s="7" t="s">
        <v>52</v>
      </c>
      <c r="P14" s="8">
        <v>44642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5845</v>
      </c>
      <c r="W14" s="9">
        <v>2520.36</v>
      </c>
      <c r="X14" s="9">
        <v>2327.48</v>
      </c>
      <c r="Y14" s="7">
        <v>0</v>
      </c>
      <c r="Z14" s="7">
        <v>997.16</v>
      </c>
    </row>
    <row r="15" spans="1:26" x14ac:dyDescent="0.35">
      <c r="A15" s="7" t="s">
        <v>27</v>
      </c>
      <c r="B15" s="7" t="s">
        <v>41</v>
      </c>
      <c r="C15" s="7" t="s">
        <v>46</v>
      </c>
      <c r="D15" s="7" t="s">
        <v>47</v>
      </c>
      <c r="E15" s="7" t="s">
        <v>36</v>
      </c>
      <c r="F15" s="7" t="s">
        <v>36</v>
      </c>
      <c r="G15" s="7">
        <v>2021</v>
      </c>
      <c r="H15" s="7" t="str">
        <f>CONCATENATE("14240746819")</f>
        <v>14240746819</v>
      </c>
      <c r="I15" s="7" t="s">
        <v>45</v>
      </c>
      <c r="J15" s="7" t="s">
        <v>31</v>
      </c>
      <c r="K15" s="7" t="str">
        <f>CONCATENATE("")</f>
        <v/>
      </c>
      <c r="L15" s="7" t="str">
        <f>CONCATENATE("11 11.2 4b")</f>
        <v>11 11.2 4b</v>
      </c>
      <c r="M15" s="7" t="str">
        <f>CONCATENATE("TRNFNC58S03G005I")</f>
        <v>TRNFNC58S03G005I</v>
      </c>
      <c r="N15" s="7" t="s">
        <v>70</v>
      </c>
      <c r="O15" s="7" t="s">
        <v>55</v>
      </c>
      <c r="P15" s="8">
        <v>44642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7">
        <v>308.85000000000002</v>
      </c>
      <c r="W15" s="7">
        <v>133.18</v>
      </c>
      <c r="X15" s="7">
        <v>122.98</v>
      </c>
      <c r="Y15" s="7">
        <v>0</v>
      </c>
      <c r="Z15" s="7">
        <v>52.69</v>
      </c>
    </row>
    <row r="16" spans="1:26" x14ac:dyDescent="0.35">
      <c r="A16" s="7" t="s">
        <v>27</v>
      </c>
      <c r="B16" s="7" t="s">
        <v>41</v>
      </c>
      <c r="C16" s="7" t="s">
        <v>46</v>
      </c>
      <c r="D16" s="7" t="s">
        <v>65</v>
      </c>
      <c r="E16" s="7" t="s">
        <v>39</v>
      </c>
      <c r="F16" s="7" t="s">
        <v>71</v>
      </c>
      <c r="G16" s="7">
        <v>2018</v>
      </c>
      <c r="H16" s="7" t="str">
        <f>CONCATENATE("84240790299")</f>
        <v>84240790299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CONCATENATE("BBRLBR55S07I608W")</f>
        <v>BBRLBR55S07I608W</v>
      </c>
      <c r="N16" s="7" t="s">
        <v>72</v>
      </c>
      <c r="O16" s="7" t="s">
        <v>55</v>
      </c>
      <c r="P16" s="8">
        <v>44642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7">
        <v>359.21</v>
      </c>
      <c r="W16" s="7">
        <v>154.88999999999999</v>
      </c>
      <c r="X16" s="7">
        <v>143.04</v>
      </c>
      <c r="Y16" s="7">
        <v>0</v>
      </c>
      <c r="Z16" s="7">
        <v>61.28</v>
      </c>
    </row>
    <row r="17" spans="1:26" x14ac:dyDescent="0.35">
      <c r="A17" s="7" t="s">
        <v>27</v>
      </c>
      <c r="B17" s="7" t="s">
        <v>41</v>
      </c>
      <c r="C17" s="7" t="s">
        <v>46</v>
      </c>
      <c r="D17" s="7" t="s">
        <v>65</v>
      </c>
      <c r="E17" s="7" t="s">
        <v>38</v>
      </c>
      <c r="F17" s="7" t="s">
        <v>73</v>
      </c>
      <c r="G17" s="7">
        <v>2021</v>
      </c>
      <c r="H17" s="7" t="str">
        <f>CONCATENATE("14241639807")</f>
        <v>14241639807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11.2 4b")</f>
        <v>11 11.2 4b</v>
      </c>
      <c r="M17" s="7" t="str">
        <f>CONCATENATE("01776160432")</f>
        <v>01776160432</v>
      </c>
      <c r="N17" s="7" t="s">
        <v>74</v>
      </c>
      <c r="O17" s="7" t="s">
        <v>55</v>
      </c>
      <c r="P17" s="8">
        <v>44642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7">
        <v>480.76</v>
      </c>
      <c r="W17" s="7">
        <v>207.3</v>
      </c>
      <c r="X17" s="7">
        <v>191.44</v>
      </c>
      <c r="Y17" s="7">
        <v>0</v>
      </c>
      <c r="Z17" s="7">
        <v>82.02</v>
      </c>
    </row>
    <row r="18" spans="1:26" x14ac:dyDescent="0.35">
      <c r="A18" s="7" t="s">
        <v>27</v>
      </c>
      <c r="B18" s="7" t="s">
        <v>41</v>
      </c>
      <c r="C18" s="7" t="s">
        <v>46</v>
      </c>
      <c r="D18" s="7" t="s">
        <v>65</v>
      </c>
      <c r="E18" s="7" t="s">
        <v>38</v>
      </c>
      <c r="F18" s="7" t="s">
        <v>73</v>
      </c>
      <c r="G18" s="7">
        <v>2021</v>
      </c>
      <c r="H18" s="7" t="str">
        <f>CONCATENATE("14241639799")</f>
        <v>14241639799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CONCATENATE("01776160432")</f>
        <v>01776160432</v>
      </c>
      <c r="N18" s="7" t="s">
        <v>74</v>
      </c>
      <c r="O18" s="7" t="s">
        <v>55</v>
      </c>
      <c r="P18" s="8">
        <v>44642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2024.25</v>
      </c>
      <c r="W18" s="7">
        <v>872.86</v>
      </c>
      <c r="X18" s="7">
        <v>806.06</v>
      </c>
      <c r="Y18" s="7">
        <v>0</v>
      </c>
      <c r="Z18" s="7">
        <v>345.33</v>
      </c>
    </row>
    <row r="19" spans="1:26" x14ac:dyDescent="0.35">
      <c r="A19" s="7" t="s">
        <v>27</v>
      </c>
      <c r="B19" s="7" t="s">
        <v>41</v>
      </c>
      <c r="C19" s="7" t="s">
        <v>46</v>
      </c>
      <c r="D19" s="7" t="s">
        <v>65</v>
      </c>
      <c r="E19" s="7" t="s">
        <v>39</v>
      </c>
      <c r="F19" s="7" t="s">
        <v>75</v>
      </c>
      <c r="G19" s="7">
        <v>2021</v>
      </c>
      <c r="H19" s="7" t="str">
        <f>CONCATENATE("14240264425")</f>
        <v>14240264425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CONCATENATE("CLDNLS83C09I608S")</f>
        <v>CLDNLS83C09I608S</v>
      </c>
      <c r="N19" s="7" t="s">
        <v>76</v>
      </c>
      <c r="O19" s="7" t="s">
        <v>55</v>
      </c>
      <c r="P19" s="8">
        <v>44642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5752.05</v>
      </c>
      <c r="W19" s="9">
        <v>2480.2800000000002</v>
      </c>
      <c r="X19" s="9">
        <v>2290.4699999999998</v>
      </c>
      <c r="Y19" s="7">
        <v>0</v>
      </c>
      <c r="Z19" s="7">
        <v>981.3</v>
      </c>
    </row>
    <row r="20" spans="1:26" x14ac:dyDescent="0.35">
      <c r="A20" s="7" t="s">
        <v>27</v>
      </c>
      <c r="B20" s="7" t="s">
        <v>41</v>
      </c>
      <c r="C20" s="7" t="s">
        <v>46</v>
      </c>
      <c r="D20" s="7" t="s">
        <v>47</v>
      </c>
      <c r="E20" s="7" t="s">
        <v>44</v>
      </c>
      <c r="F20" s="7" t="s">
        <v>77</v>
      </c>
      <c r="G20" s="7">
        <v>2021</v>
      </c>
      <c r="H20" s="7" t="str">
        <f>CONCATENATE("14241029876")</f>
        <v>14241029876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CONCATENATE("SRHHSN64L28Z330C")</f>
        <v>SRHHSN64L28Z330C</v>
      </c>
      <c r="N20" s="7" t="s">
        <v>78</v>
      </c>
      <c r="O20" s="7" t="s">
        <v>55</v>
      </c>
      <c r="P20" s="8">
        <v>44642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7">
        <v>930.14</v>
      </c>
      <c r="W20" s="7">
        <v>401.08</v>
      </c>
      <c r="X20" s="7">
        <v>370.38</v>
      </c>
      <c r="Y20" s="7">
        <v>0</v>
      </c>
      <c r="Z20" s="7">
        <v>158.68</v>
      </c>
    </row>
    <row r="21" spans="1:26" ht="17.5" x14ac:dyDescent="0.35">
      <c r="A21" s="7" t="s">
        <v>27</v>
      </c>
      <c r="B21" s="7" t="s">
        <v>41</v>
      </c>
      <c r="C21" s="7" t="s">
        <v>46</v>
      </c>
      <c r="D21" s="7" t="s">
        <v>47</v>
      </c>
      <c r="E21" s="7" t="s">
        <v>43</v>
      </c>
      <c r="F21" s="7" t="s">
        <v>53</v>
      </c>
      <c r="G21" s="7">
        <v>2021</v>
      </c>
      <c r="H21" s="7" t="str">
        <f>CONCATENATE("14240130782")</f>
        <v>14240130782</v>
      </c>
      <c r="I21" s="7" t="s">
        <v>30</v>
      </c>
      <c r="J21" s="7" t="s">
        <v>31</v>
      </c>
      <c r="K21" s="7" t="str">
        <f>CONCATENATE("")</f>
        <v/>
      </c>
      <c r="L21" s="7" t="str">
        <f>CONCATENATE("11 11.2 4b")</f>
        <v>11 11.2 4b</v>
      </c>
      <c r="M21" s="7" t="str">
        <f>CONCATENATE("02642500967")</f>
        <v>02642500967</v>
      </c>
      <c r="N21" s="7" t="s">
        <v>79</v>
      </c>
      <c r="O21" s="7" t="s">
        <v>55</v>
      </c>
      <c r="P21" s="8">
        <v>44642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4693.82</v>
      </c>
      <c r="W21" s="9">
        <v>2023.98</v>
      </c>
      <c r="X21" s="9">
        <v>1869.08</v>
      </c>
      <c r="Y21" s="7">
        <v>0</v>
      </c>
      <c r="Z21" s="7">
        <v>800.76</v>
      </c>
    </row>
    <row r="22" spans="1:26" x14ac:dyDescent="0.35">
      <c r="A22" s="7" t="s">
        <v>27</v>
      </c>
      <c r="B22" s="7" t="s">
        <v>41</v>
      </c>
      <c r="C22" s="7" t="s">
        <v>46</v>
      </c>
      <c r="D22" s="7" t="s">
        <v>47</v>
      </c>
      <c r="E22" s="7" t="s">
        <v>39</v>
      </c>
      <c r="F22" s="7" t="s">
        <v>80</v>
      </c>
      <c r="G22" s="7">
        <v>2021</v>
      </c>
      <c r="H22" s="7" t="str">
        <f>CONCATENATE("14241363275")</f>
        <v>14241363275</v>
      </c>
      <c r="I22" s="7" t="s">
        <v>45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CONCATENATE("VLTLCN59D17H321X")</f>
        <v>VLTLCN59D17H321X</v>
      </c>
      <c r="N22" s="7" t="s">
        <v>81</v>
      </c>
      <c r="O22" s="7" t="s">
        <v>55</v>
      </c>
      <c r="P22" s="8">
        <v>44642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7">
        <v>209.65</v>
      </c>
      <c r="W22" s="7">
        <v>90.4</v>
      </c>
      <c r="X22" s="7">
        <v>83.48</v>
      </c>
      <c r="Y22" s="7">
        <v>0</v>
      </c>
      <c r="Z22" s="7">
        <v>35.770000000000003</v>
      </c>
    </row>
    <row r="23" spans="1:26" x14ac:dyDescent="0.35">
      <c r="A23" s="7" t="s">
        <v>27</v>
      </c>
      <c r="B23" s="7" t="s">
        <v>41</v>
      </c>
      <c r="C23" s="7" t="s">
        <v>46</v>
      </c>
      <c r="D23" s="7" t="s">
        <v>65</v>
      </c>
      <c r="E23" s="7" t="s">
        <v>39</v>
      </c>
      <c r="F23" s="7" t="s">
        <v>71</v>
      </c>
      <c r="G23" s="7">
        <v>2021</v>
      </c>
      <c r="H23" s="7" t="str">
        <f>CONCATENATE("14240998345")</f>
        <v>14240998345</v>
      </c>
      <c r="I23" s="7" t="s">
        <v>30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CONCATENATE("SPLGDN65M23D007V")</f>
        <v>SPLGDN65M23D007V</v>
      </c>
      <c r="N23" s="7" t="s">
        <v>82</v>
      </c>
      <c r="O23" s="7" t="s">
        <v>55</v>
      </c>
      <c r="P23" s="8">
        <v>44642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4772.47</v>
      </c>
      <c r="W23" s="9">
        <v>2057.89</v>
      </c>
      <c r="X23" s="9">
        <v>1900.4</v>
      </c>
      <c r="Y23" s="7">
        <v>0</v>
      </c>
      <c r="Z23" s="7">
        <v>814.18</v>
      </c>
    </row>
    <row r="24" spans="1:26" x14ac:dyDescent="0.35">
      <c r="A24" s="7" t="s">
        <v>27</v>
      </c>
      <c r="B24" s="7" t="s">
        <v>41</v>
      </c>
      <c r="C24" s="7" t="s">
        <v>46</v>
      </c>
      <c r="D24" s="7" t="s">
        <v>57</v>
      </c>
      <c r="E24" s="7" t="s">
        <v>29</v>
      </c>
      <c r="F24" s="7" t="s">
        <v>83</v>
      </c>
      <c r="G24" s="7">
        <v>2021</v>
      </c>
      <c r="H24" s="7" t="str">
        <f>CONCATENATE("14241334953")</f>
        <v>14241334953</v>
      </c>
      <c r="I24" s="7" t="s">
        <v>45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CONCATENATE("02417480411")</f>
        <v>02417480411</v>
      </c>
      <c r="N24" s="7" t="s">
        <v>84</v>
      </c>
      <c r="O24" s="7" t="s">
        <v>55</v>
      </c>
      <c r="P24" s="8">
        <v>44642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25537.97</v>
      </c>
      <c r="W24" s="9">
        <v>11011.97</v>
      </c>
      <c r="X24" s="9">
        <v>10169.219999999999</v>
      </c>
      <c r="Y24" s="7">
        <v>0</v>
      </c>
      <c r="Z24" s="9">
        <v>4356.78</v>
      </c>
    </row>
    <row r="25" spans="1:26" x14ac:dyDescent="0.35">
      <c r="A25" s="7" t="s">
        <v>27</v>
      </c>
      <c r="B25" s="7" t="s">
        <v>41</v>
      </c>
      <c r="C25" s="7" t="s">
        <v>46</v>
      </c>
      <c r="D25" s="7" t="s">
        <v>65</v>
      </c>
      <c r="E25" s="7" t="s">
        <v>38</v>
      </c>
      <c r="F25" s="7" t="s">
        <v>85</v>
      </c>
      <c r="G25" s="7">
        <v>2021</v>
      </c>
      <c r="H25" s="7" t="str">
        <f>CONCATENATE("14240945080")</f>
        <v>14240945080</v>
      </c>
      <c r="I25" s="7" t="s">
        <v>30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CONCATENATE("01860160439")</f>
        <v>01860160439</v>
      </c>
      <c r="N25" s="7" t="s">
        <v>86</v>
      </c>
      <c r="O25" s="7" t="s">
        <v>55</v>
      </c>
      <c r="P25" s="8">
        <v>44642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1975.3</v>
      </c>
      <c r="W25" s="7">
        <v>851.75</v>
      </c>
      <c r="X25" s="7">
        <v>786.56</v>
      </c>
      <c r="Y25" s="7">
        <v>0</v>
      </c>
      <c r="Z25" s="7">
        <v>336.99</v>
      </c>
    </row>
    <row r="26" spans="1:26" x14ac:dyDescent="0.35">
      <c r="A26" s="7" t="s">
        <v>27</v>
      </c>
      <c r="B26" s="7" t="s">
        <v>41</v>
      </c>
      <c r="C26" s="7" t="s">
        <v>46</v>
      </c>
      <c r="D26" s="7" t="s">
        <v>47</v>
      </c>
      <c r="E26" s="7" t="s">
        <v>36</v>
      </c>
      <c r="F26" s="7" t="s">
        <v>36</v>
      </c>
      <c r="G26" s="7">
        <v>2021</v>
      </c>
      <c r="H26" s="7" t="str">
        <f>CONCATENATE("14241010785")</f>
        <v>14241010785</v>
      </c>
      <c r="I26" s="7" t="s">
        <v>45</v>
      </c>
      <c r="J26" s="7" t="s">
        <v>31</v>
      </c>
      <c r="K26" s="7" t="str">
        <f>CONCATENATE("")</f>
        <v/>
      </c>
      <c r="L26" s="7" t="str">
        <f>CONCATENATE("11 11.2 4b")</f>
        <v>11 11.2 4b</v>
      </c>
      <c r="M26" s="7" t="str">
        <f>CONCATENATE("LLMNLN70S17H321W")</f>
        <v>LLMNLN70S17H321W</v>
      </c>
      <c r="N26" s="7" t="s">
        <v>87</v>
      </c>
      <c r="O26" s="7" t="s">
        <v>55</v>
      </c>
      <c r="P26" s="8">
        <v>44642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768.69</v>
      </c>
      <c r="W26" s="7">
        <v>331.46</v>
      </c>
      <c r="X26" s="7">
        <v>306.08999999999997</v>
      </c>
      <c r="Y26" s="7">
        <v>0</v>
      </c>
      <c r="Z26" s="7">
        <v>131.13999999999999</v>
      </c>
    </row>
    <row r="27" spans="1:26" x14ac:dyDescent="0.35">
      <c r="A27" s="7" t="s">
        <v>27</v>
      </c>
      <c r="B27" s="7" t="s">
        <v>41</v>
      </c>
      <c r="C27" s="7" t="s">
        <v>46</v>
      </c>
      <c r="D27" s="7" t="s">
        <v>47</v>
      </c>
      <c r="E27" s="7" t="s">
        <v>43</v>
      </c>
      <c r="F27" s="7" t="s">
        <v>53</v>
      </c>
      <c r="G27" s="7">
        <v>2021</v>
      </c>
      <c r="H27" s="7" t="str">
        <f>CONCATENATE("14240856261")</f>
        <v>14240856261</v>
      </c>
      <c r="I27" s="7" t="s">
        <v>30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CONCATENATE("MRCMHL89S22A252M")</f>
        <v>MRCMHL89S22A252M</v>
      </c>
      <c r="N27" s="7" t="s">
        <v>88</v>
      </c>
      <c r="O27" s="7" t="s">
        <v>55</v>
      </c>
      <c r="P27" s="8">
        <v>44642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9261.42</v>
      </c>
      <c r="W27" s="9">
        <v>3993.52</v>
      </c>
      <c r="X27" s="9">
        <v>3687.9</v>
      </c>
      <c r="Y27" s="7">
        <v>0</v>
      </c>
      <c r="Z27" s="9">
        <v>1580</v>
      </c>
    </row>
    <row r="28" spans="1:26" ht="17.5" x14ac:dyDescent="0.35">
      <c r="A28" s="7" t="s">
        <v>27</v>
      </c>
      <c r="B28" s="7" t="s">
        <v>41</v>
      </c>
      <c r="C28" s="7" t="s">
        <v>46</v>
      </c>
      <c r="D28" s="7" t="s">
        <v>47</v>
      </c>
      <c r="E28" s="7" t="s">
        <v>36</v>
      </c>
      <c r="F28" s="7" t="s">
        <v>36</v>
      </c>
      <c r="G28" s="7">
        <v>2021</v>
      </c>
      <c r="H28" s="7" t="str">
        <f>CONCATENATE("14241031856")</f>
        <v>14241031856</v>
      </c>
      <c r="I28" s="7" t="s">
        <v>45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CONCATENATE("RMGGNE41M05H321S")</f>
        <v>RMGGNE41M05H321S</v>
      </c>
      <c r="N28" s="7" t="s">
        <v>89</v>
      </c>
      <c r="O28" s="7" t="s">
        <v>55</v>
      </c>
      <c r="P28" s="8">
        <v>44642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7">
        <v>315.20999999999998</v>
      </c>
      <c r="W28" s="7">
        <v>135.91999999999999</v>
      </c>
      <c r="X28" s="7">
        <v>125.52</v>
      </c>
      <c r="Y28" s="7">
        <v>0</v>
      </c>
      <c r="Z28" s="7">
        <v>53.77</v>
      </c>
    </row>
    <row r="29" spans="1:26" x14ac:dyDescent="0.35">
      <c r="A29" s="7" t="s">
        <v>27</v>
      </c>
      <c r="B29" s="7" t="s">
        <v>41</v>
      </c>
      <c r="C29" s="7" t="s">
        <v>46</v>
      </c>
      <c r="D29" s="7" t="s">
        <v>47</v>
      </c>
      <c r="E29" s="7" t="s">
        <v>36</v>
      </c>
      <c r="F29" s="7" t="s">
        <v>36</v>
      </c>
      <c r="G29" s="7">
        <v>2021</v>
      </c>
      <c r="H29" s="7" t="str">
        <f>CONCATENATE("14241053066")</f>
        <v>14241053066</v>
      </c>
      <c r="I29" s="7" t="s">
        <v>45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CONCATENATE("CRMGNN75A27H769Q")</f>
        <v>CRMGNN75A27H769Q</v>
      </c>
      <c r="N29" s="7" t="s">
        <v>90</v>
      </c>
      <c r="O29" s="7" t="s">
        <v>55</v>
      </c>
      <c r="P29" s="8">
        <v>44642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7">
        <v>406.11</v>
      </c>
      <c r="W29" s="7">
        <v>175.11</v>
      </c>
      <c r="X29" s="7">
        <v>161.71</v>
      </c>
      <c r="Y29" s="7">
        <v>0</v>
      </c>
      <c r="Z29" s="7">
        <v>69.290000000000006</v>
      </c>
    </row>
    <row r="30" spans="1:26" x14ac:dyDescent="0.35">
      <c r="A30" s="7" t="s">
        <v>27</v>
      </c>
      <c r="B30" s="7" t="s">
        <v>41</v>
      </c>
      <c r="C30" s="7" t="s">
        <v>46</v>
      </c>
      <c r="D30" s="7" t="s">
        <v>57</v>
      </c>
      <c r="E30" s="7" t="s">
        <v>44</v>
      </c>
      <c r="F30" s="7" t="s">
        <v>91</v>
      </c>
      <c r="G30" s="7">
        <v>2021</v>
      </c>
      <c r="H30" s="7" t="str">
        <f>CONCATENATE("14241355859")</f>
        <v>14241355859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CONCATENATE("DTLNDR80A02D488B")</f>
        <v>DTLNDR80A02D488B</v>
      </c>
      <c r="N30" s="7" t="s">
        <v>92</v>
      </c>
      <c r="O30" s="7" t="s">
        <v>55</v>
      </c>
      <c r="P30" s="8">
        <v>44642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3105.45</v>
      </c>
      <c r="W30" s="9">
        <v>1339.07</v>
      </c>
      <c r="X30" s="9">
        <v>1236.5899999999999</v>
      </c>
      <c r="Y30" s="7">
        <v>0</v>
      </c>
      <c r="Z30" s="7">
        <v>529.79</v>
      </c>
    </row>
    <row r="31" spans="1:26" x14ac:dyDescent="0.35">
      <c r="A31" s="7" t="s">
        <v>27</v>
      </c>
      <c r="B31" s="7" t="s">
        <v>41</v>
      </c>
      <c r="C31" s="7" t="s">
        <v>46</v>
      </c>
      <c r="D31" s="7" t="s">
        <v>47</v>
      </c>
      <c r="E31" s="7" t="s">
        <v>29</v>
      </c>
      <c r="F31" s="7" t="s">
        <v>93</v>
      </c>
      <c r="G31" s="7">
        <v>2021</v>
      </c>
      <c r="H31" s="7" t="str">
        <f>CONCATENATE("14240234105")</f>
        <v>14240234105</v>
      </c>
      <c r="I31" s="7" t="s">
        <v>45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CONCATENATE("CNLSRN59T45C093D")</f>
        <v>CNLSRN59T45C093D</v>
      </c>
      <c r="N31" s="7" t="s">
        <v>94</v>
      </c>
      <c r="O31" s="7" t="s">
        <v>55</v>
      </c>
      <c r="P31" s="8">
        <v>44642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7">
        <v>545.59</v>
      </c>
      <c r="W31" s="7">
        <v>235.26</v>
      </c>
      <c r="X31" s="7">
        <v>217.25</v>
      </c>
      <c r="Y31" s="7">
        <v>0</v>
      </c>
      <c r="Z31" s="7">
        <v>93.08</v>
      </c>
    </row>
    <row r="32" spans="1:26" x14ac:dyDescent="0.35">
      <c r="A32" s="7" t="s">
        <v>27</v>
      </c>
      <c r="B32" s="7" t="s">
        <v>41</v>
      </c>
      <c r="C32" s="7" t="s">
        <v>46</v>
      </c>
      <c r="D32" s="7" t="s">
        <v>65</v>
      </c>
      <c r="E32" s="7" t="s">
        <v>29</v>
      </c>
      <c r="F32" s="7" t="s">
        <v>66</v>
      </c>
      <c r="G32" s="7">
        <v>2021</v>
      </c>
      <c r="H32" s="7" t="str">
        <f>CONCATENATE("14241397232")</f>
        <v>14241397232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11.1 4b")</f>
        <v>11 11.1 4b</v>
      </c>
      <c r="M32" s="7" t="str">
        <f>CONCATENATE("01964550436")</f>
        <v>01964550436</v>
      </c>
      <c r="N32" s="7" t="s">
        <v>95</v>
      </c>
      <c r="O32" s="7" t="s">
        <v>55</v>
      </c>
      <c r="P32" s="8">
        <v>44642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1663.45</v>
      </c>
      <c r="W32" s="7">
        <v>717.28</v>
      </c>
      <c r="X32" s="7">
        <v>662.39</v>
      </c>
      <c r="Y32" s="7">
        <v>0</v>
      </c>
      <c r="Z32" s="7">
        <v>283.77999999999997</v>
      </c>
    </row>
    <row r="33" spans="1:26" x14ac:dyDescent="0.35">
      <c r="A33" s="7" t="s">
        <v>27</v>
      </c>
      <c r="B33" s="7" t="s">
        <v>41</v>
      </c>
      <c r="C33" s="7" t="s">
        <v>46</v>
      </c>
      <c r="D33" s="7" t="s">
        <v>65</v>
      </c>
      <c r="E33" s="7" t="s">
        <v>39</v>
      </c>
      <c r="F33" s="7" t="s">
        <v>96</v>
      </c>
      <c r="G33" s="7">
        <v>2021</v>
      </c>
      <c r="H33" s="7" t="str">
        <f>CONCATENATE("14241028878")</f>
        <v>14241028878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11.1 4b")</f>
        <v>11 11.1 4b</v>
      </c>
      <c r="M33" s="7" t="str">
        <f>CONCATENATE("BLDMLN73L18E388Z")</f>
        <v>BLDMLN73L18E388Z</v>
      </c>
      <c r="N33" s="7" t="s">
        <v>97</v>
      </c>
      <c r="O33" s="7" t="s">
        <v>55</v>
      </c>
      <c r="P33" s="8">
        <v>44642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203.83</v>
      </c>
      <c r="W33" s="7">
        <v>87.89</v>
      </c>
      <c r="X33" s="7">
        <v>81.17</v>
      </c>
      <c r="Y33" s="7">
        <v>0</v>
      </c>
      <c r="Z33" s="7">
        <v>34.770000000000003</v>
      </c>
    </row>
    <row r="34" spans="1:26" x14ac:dyDescent="0.35">
      <c r="A34" s="7" t="s">
        <v>27</v>
      </c>
      <c r="B34" s="7" t="s">
        <v>41</v>
      </c>
      <c r="C34" s="7" t="s">
        <v>46</v>
      </c>
      <c r="D34" s="7" t="s">
        <v>57</v>
      </c>
      <c r="E34" s="7" t="s">
        <v>29</v>
      </c>
      <c r="F34" s="7" t="s">
        <v>83</v>
      </c>
      <c r="G34" s="7">
        <v>2021</v>
      </c>
      <c r="H34" s="7" t="str">
        <f>CONCATENATE("14241332528")</f>
        <v>14241332528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CONCATENATE("02638880415")</f>
        <v>02638880415</v>
      </c>
      <c r="N34" s="7" t="s">
        <v>98</v>
      </c>
      <c r="O34" s="7" t="s">
        <v>55</v>
      </c>
      <c r="P34" s="8">
        <v>44642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3452.16</v>
      </c>
      <c r="W34" s="9">
        <v>1488.57</v>
      </c>
      <c r="X34" s="9">
        <v>1374.65</v>
      </c>
      <c r="Y34" s="7">
        <v>0</v>
      </c>
      <c r="Z34" s="7">
        <v>588.94000000000005</v>
      </c>
    </row>
    <row r="35" spans="1:26" x14ac:dyDescent="0.35">
      <c r="A35" s="7" t="s">
        <v>27</v>
      </c>
      <c r="B35" s="7" t="s">
        <v>41</v>
      </c>
      <c r="C35" s="7" t="s">
        <v>46</v>
      </c>
      <c r="D35" s="7" t="s">
        <v>47</v>
      </c>
      <c r="E35" s="7" t="s">
        <v>36</v>
      </c>
      <c r="F35" s="7" t="s">
        <v>36</v>
      </c>
      <c r="G35" s="7">
        <v>2021</v>
      </c>
      <c r="H35" s="7" t="str">
        <f>CONCATENATE("14240476938")</f>
        <v>14240476938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CONCATENATE("BNCMHL91E10D542M")</f>
        <v>BNCMHL91E10D542M</v>
      </c>
      <c r="N35" s="7" t="s">
        <v>99</v>
      </c>
      <c r="O35" s="7" t="s">
        <v>55</v>
      </c>
      <c r="P35" s="8">
        <v>44642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1099.23</v>
      </c>
      <c r="W35" s="7">
        <v>473.99</v>
      </c>
      <c r="X35" s="7">
        <v>437.71</v>
      </c>
      <c r="Y35" s="7">
        <v>0</v>
      </c>
      <c r="Z35" s="7">
        <v>187.53</v>
      </c>
    </row>
    <row r="36" spans="1:26" x14ac:dyDescent="0.35">
      <c r="A36" s="7" t="s">
        <v>27</v>
      </c>
      <c r="B36" s="7" t="s">
        <v>41</v>
      </c>
      <c r="C36" s="7" t="s">
        <v>46</v>
      </c>
      <c r="D36" s="7" t="s">
        <v>47</v>
      </c>
      <c r="E36" s="7" t="s">
        <v>43</v>
      </c>
      <c r="F36" s="7" t="s">
        <v>53</v>
      </c>
      <c r="G36" s="7">
        <v>2021</v>
      </c>
      <c r="H36" s="7" t="str">
        <f>CONCATENATE("14240683004")</f>
        <v>14240683004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CONCATENATE("CHRPLA68P29H769J")</f>
        <v>CHRPLA68P29H769J</v>
      </c>
      <c r="N36" s="7" t="s">
        <v>100</v>
      </c>
      <c r="O36" s="7" t="s">
        <v>55</v>
      </c>
      <c r="P36" s="8">
        <v>44642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17879.900000000001</v>
      </c>
      <c r="W36" s="9">
        <v>7709.81</v>
      </c>
      <c r="X36" s="9">
        <v>7119.78</v>
      </c>
      <c r="Y36" s="7">
        <v>0</v>
      </c>
      <c r="Z36" s="9">
        <v>3050.31</v>
      </c>
    </row>
    <row r="37" spans="1:26" x14ac:dyDescent="0.35">
      <c r="A37" s="7" t="s">
        <v>27</v>
      </c>
      <c r="B37" s="7" t="s">
        <v>41</v>
      </c>
      <c r="C37" s="7" t="s">
        <v>46</v>
      </c>
      <c r="D37" s="7" t="s">
        <v>65</v>
      </c>
      <c r="E37" s="7" t="s">
        <v>39</v>
      </c>
      <c r="F37" s="7" t="s">
        <v>75</v>
      </c>
      <c r="G37" s="7">
        <v>2021</v>
      </c>
      <c r="H37" s="7" t="str">
        <f>CONCATENATE("14240517731")</f>
        <v>14240517731</v>
      </c>
      <c r="I37" s="7" t="s">
        <v>30</v>
      </c>
      <c r="J37" s="7" t="s">
        <v>31</v>
      </c>
      <c r="K37" s="7" t="str">
        <f>CONCATENATE("")</f>
        <v/>
      </c>
      <c r="L37" s="7" t="str">
        <f>CONCATENATE("11 11.2 4b")</f>
        <v>11 11.2 4b</v>
      </c>
      <c r="M37" s="7" t="str">
        <f>CONCATENATE("PTRGZN57T29A366B")</f>
        <v>PTRGZN57T29A366B</v>
      </c>
      <c r="N37" s="7" t="s">
        <v>101</v>
      </c>
      <c r="O37" s="7" t="s">
        <v>55</v>
      </c>
      <c r="P37" s="8">
        <v>44642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1600.33</v>
      </c>
      <c r="W37" s="7">
        <v>690.06</v>
      </c>
      <c r="X37" s="7">
        <v>637.25</v>
      </c>
      <c r="Y37" s="7">
        <v>0</v>
      </c>
      <c r="Z37" s="7">
        <v>273.02</v>
      </c>
    </row>
    <row r="38" spans="1:26" x14ac:dyDescent="0.35">
      <c r="A38" s="7" t="s">
        <v>27</v>
      </c>
      <c r="B38" s="7" t="s">
        <v>41</v>
      </c>
      <c r="C38" s="7" t="s">
        <v>46</v>
      </c>
      <c r="D38" s="7" t="s">
        <v>57</v>
      </c>
      <c r="E38" s="7" t="s">
        <v>39</v>
      </c>
      <c r="F38" s="7" t="s">
        <v>102</v>
      </c>
      <c r="G38" s="7">
        <v>2021</v>
      </c>
      <c r="H38" s="7" t="str">
        <f>CONCATENATE("14240755786")</f>
        <v>14240755786</v>
      </c>
      <c r="I38" s="7" t="s">
        <v>30</v>
      </c>
      <c r="J38" s="7" t="s">
        <v>31</v>
      </c>
      <c r="K38" s="7" t="str">
        <f>CONCATENATE("")</f>
        <v/>
      </c>
      <c r="L38" s="7" t="str">
        <f>CONCATENATE("11 11.1 4b")</f>
        <v>11 11.1 4b</v>
      </c>
      <c r="M38" s="7" t="str">
        <f>CONCATENATE("GZZMRZ62E21D749Z")</f>
        <v>GZZMRZ62E21D749Z</v>
      </c>
      <c r="N38" s="7" t="s">
        <v>103</v>
      </c>
      <c r="O38" s="7" t="s">
        <v>55</v>
      </c>
      <c r="P38" s="8">
        <v>44642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7">
        <v>624.82000000000005</v>
      </c>
      <c r="W38" s="7">
        <v>269.42</v>
      </c>
      <c r="X38" s="7">
        <v>248.8</v>
      </c>
      <c r="Y38" s="7">
        <v>0</v>
      </c>
      <c r="Z38" s="7">
        <v>106.6</v>
      </c>
    </row>
    <row r="39" spans="1:26" x14ac:dyDescent="0.35">
      <c r="A39" s="7" t="s">
        <v>27</v>
      </c>
      <c r="B39" s="7" t="s">
        <v>41</v>
      </c>
      <c r="C39" s="7" t="s">
        <v>46</v>
      </c>
      <c r="D39" s="7" t="s">
        <v>65</v>
      </c>
      <c r="E39" s="7" t="s">
        <v>39</v>
      </c>
      <c r="F39" s="7" t="s">
        <v>75</v>
      </c>
      <c r="G39" s="7">
        <v>2021</v>
      </c>
      <c r="H39" s="7" t="str">
        <f>CONCATENATE("14240927179")</f>
        <v>14240927179</v>
      </c>
      <c r="I39" s="7" t="s">
        <v>30</v>
      </c>
      <c r="J39" s="7" t="s">
        <v>31</v>
      </c>
      <c r="K39" s="7" t="str">
        <f>CONCATENATE("")</f>
        <v/>
      </c>
      <c r="L39" s="7" t="str">
        <f>CONCATENATE("11 11.2 4b")</f>
        <v>11 11.2 4b</v>
      </c>
      <c r="M39" s="7" t="str">
        <f>CONCATENATE("02855180424")</f>
        <v>02855180424</v>
      </c>
      <c r="N39" s="7" t="s">
        <v>104</v>
      </c>
      <c r="O39" s="7" t="s">
        <v>55</v>
      </c>
      <c r="P39" s="8">
        <v>44642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9691.9500000000007</v>
      </c>
      <c r="W39" s="9">
        <v>4179.17</v>
      </c>
      <c r="X39" s="9">
        <v>3859.33</v>
      </c>
      <c r="Y39" s="7">
        <v>0</v>
      </c>
      <c r="Z39" s="9">
        <v>1653.45</v>
      </c>
    </row>
    <row r="40" spans="1:26" x14ac:dyDescent="0.35">
      <c r="A40" s="7" t="s">
        <v>27</v>
      </c>
      <c r="B40" s="7" t="s">
        <v>41</v>
      </c>
      <c r="C40" s="7" t="s">
        <v>46</v>
      </c>
      <c r="D40" s="7" t="s">
        <v>57</v>
      </c>
      <c r="E40" s="7" t="s">
        <v>38</v>
      </c>
      <c r="F40" s="7" t="s">
        <v>105</v>
      </c>
      <c r="G40" s="7">
        <v>2021</v>
      </c>
      <c r="H40" s="7" t="str">
        <f>CONCATENATE("14241070946")</f>
        <v>14241070946</v>
      </c>
      <c r="I40" s="7" t="s">
        <v>45</v>
      </c>
      <c r="J40" s="7" t="s">
        <v>31</v>
      </c>
      <c r="K40" s="7" t="str">
        <f>CONCATENATE("")</f>
        <v/>
      </c>
      <c r="L40" s="7" t="str">
        <f>CONCATENATE("11 11.2 4b")</f>
        <v>11 11.2 4b</v>
      </c>
      <c r="M40" s="7" t="str">
        <f>CONCATENATE("RBRLSN59B07H809J")</f>
        <v>RBRLSN59B07H809J</v>
      </c>
      <c r="N40" s="7" t="s">
        <v>106</v>
      </c>
      <c r="O40" s="7" t="s">
        <v>55</v>
      </c>
      <c r="P40" s="8">
        <v>44642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104.14</v>
      </c>
      <c r="W40" s="7">
        <v>44.91</v>
      </c>
      <c r="X40" s="7">
        <v>41.47</v>
      </c>
      <c r="Y40" s="7">
        <v>0</v>
      </c>
      <c r="Z40" s="7">
        <v>17.760000000000002</v>
      </c>
    </row>
    <row r="41" spans="1:26" x14ac:dyDescent="0.35">
      <c r="A41" s="7" t="s">
        <v>27</v>
      </c>
      <c r="B41" s="7" t="s">
        <v>41</v>
      </c>
      <c r="C41" s="7" t="s">
        <v>46</v>
      </c>
      <c r="D41" s="7" t="s">
        <v>57</v>
      </c>
      <c r="E41" s="7" t="s">
        <v>38</v>
      </c>
      <c r="F41" s="7" t="s">
        <v>105</v>
      </c>
      <c r="G41" s="7">
        <v>2021</v>
      </c>
      <c r="H41" s="7" t="str">
        <f>CONCATENATE("14241071811")</f>
        <v>14241071811</v>
      </c>
      <c r="I41" s="7" t="s">
        <v>45</v>
      </c>
      <c r="J41" s="7" t="s">
        <v>31</v>
      </c>
      <c r="K41" s="7" t="str">
        <f>CONCATENATE("")</f>
        <v/>
      </c>
      <c r="L41" s="7" t="str">
        <f>CONCATENATE("11 11.2 4b")</f>
        <v>11 11.2 4b</v>
      </c>
      <c r="M41" s="7" t="str">
        <f>CONCATENATE("RBRLSN59B07H809J")</f>
        <v>RBRLSN59B07H809J</v>
      </c>
      <c r="N41" s="7" t="s">
        <v>106</v>
      </c>
      <c r="O41" s="7" t="s">
        <v>55</v>
      </c>
      <c r="P41" s="8">
        <v>44642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7">
        <v>635.70000000000005</v>
      </c>
      <c r="W41" s="7">
        <v>274.11</v>
      </c>
      <c r="X41" s="7">
        <v>253.14</v>
      </c>
      <c r="Y41" s="7">
        <v>0</v>
      </c>
      <c r="Z41" s="7">
        <v>108.45</v>
      </c>
    </row>
    <row r="42" spans="1:26" x14ac:dyDescent="0.35">
      <c r="A42" s="7" t="s">
        <v>27</v>
      </c>
      <c r="B42" s="7" t="s">
        <v>41</v>
      </c>
      <c r="C42" s="7" t="s">
        <v>46</v>
      </c>
      <c r="D42" s="7" t="s">
        <v>63</v>
      </c>
      <c r="E42" s="7" t="s">
        <v>38</v>
      </c>
      <c r="F42" s="7" t="s">
        <v>85</v>
      </c>
      <c r="G42" s="7">
        <v>2021</v>
      </c>
      <c r="H42" s="7" t="str">
        <f>CONCATENATE("14240440694")</f>
        <v>14240440694</v>
      </c>
      <c r="I42" s="7" t="s">
        <v>30</v>
      </c>
      <c r="J42" s="7" t="s">
        <v>31</v>
      </c>
      <c r="K42" s="7" t="str">
        <f>CONCATENATE("")</f>
        <v/>
      </c>
      <c r="L42" s="7" t="str">
        <f>CONCATENATE("14 14.1 3a")</f>
        <v>14 14.1 3a</v>
      </c>
      <c r="M42" s="7" t="str">
        <f>CONCATENATE("00607050432")</f>
        <v>00607050432</v>
      </c>
      <c r="N42" s="7" t="s">
        <v>107</v>
      </c>
      <c r="O42" s="7" t="s">
        <v>108</v>
      </c>
      <c r="P42" s="8">
        <v>44642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16425.599999999999</v>
      </c>
      <c r="W42" s="9">
        <v>7082.72</v>
      </c>
      <c r="X42" s="9">
        <v>6540.67</v>
      </c>
      <c r="Y42" s="7">
        <v>0</v>
      </c>
      <c r="Z42" s="9">
        <v>2802.21</v>
      </c>
    </row>
    <row r="43" spans="1:26" x14ac:dyDescent="0.35">
      <c r="A43" s="7" t="s">
        <v>27</v>
      </c>
      <c r="B43" s="7" t="s">
        <v>41</v>
      </c>
      <c r="C43" s="7" t="s">
        <v>46</v>
      </c>
      <c r="D43" s="7" t="s">
        <v>65</v>
      </c>
      <c r="E43" s="7" t="s">
        <v>29</v>
      </c>
      <c r="F43" s="7" t="s">
        <v>66</v>
      </c>
      <c r="G43" s="7">
        <v>2020</v>
      </c>
      <c r="H43" s="7" t="str">
        <f>CONCATENATE("04240516353")</f>
        <v>04240516353</v>
      </c>
      <c r="I43" s="7" t="s">
        <v>30</v>
      </c>
      <c r="J43" s="7" t="s">
        <v>31</v>
      </c>
      <c r="K43" s="7" t="str">
        <f>CONCATENATE("")</f>
        <v/>
      </c>
      <c r="L43" s="7" t="str">
        <f>CONCATENATE("14 14.1 3a")</f>
        <v>14 14.1 3a</v>
      </c>
      <c r="M43" s="7" t="str">
        <f>CONCATENATE("FRDLCN46C63E388H")</f>
        <v>FRDLCN46C63E388H</v>
      </c>
      <c r="N43" s="7" t="s">
        <v>109</v>
      </c>
      <c r="O43" s="7" t="s">
        <v>108</v>
      </c>
      <c r="P43" s="8">
        <v>44642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8539.7999999999993</v>
      </c>
      <c r="W43" s="9">
        <v>3682.36</v>
      </c>
      <c r="X43" s="9">
        <v>3400.55</v>
      </c>
      <c r="Y43" s="7">
        <v>0</v>
      </c>
      <c r="Z43" s="9">
        <v>1456.89</v>
      </c>
    </row>
    <row r="44" spans="1:26" ht="17.5" x14ac:dyDescent="0.35">
      <c r="A44" s="7" t="s">
        <v>27</v>
      </c>
      <c r="B44" s="7" t="s">
        <v>41</v>
      </c>
      <c r="C44" s="7" t="s">
        <v>46</v>
      </c>
      <c r="D44" s="7" t="s">
        <v>57</v>
      </c>
      <c r="E44" s="7" t="s">
        <v>38</v>
      </c>
      <c r="F44" s="7" t="s">
        <v>110</v>
      </c>
      <c r="G44" s="7">
        <v>2021</v>
      </c>
      <c r="H44" s="7" t="str">
        <f>CONCATENATE("14240525320")</f>
        <v>14240525320</v>
      </c>
      <c r="I44" s="7" t="s">
        <v>30</v>
      </c>
      <c r="J44" s="7" t="s">
        <v>31</v>
      </c>
      <c r="K44" s="7" t="str">
        <f>CONCATENATE("")</f>
        <v/>
      </c>
      <c r="L44" s="7" t="str">
        <f>CONCATENATE("14 14.1 3a")</f>
        <v>14 14.1 3a</v>
      </c>
      <c r="M44" s="7" t="str">
        <f>CONCATENATE("00651240418")</f>
        <v>00651240418</v>
      </c>
      <c r="N44" s="7" t="s">
        <v>111</v>
      </c>
      <c r="O44" s="7" t="s">
        <v>112</v>
      </c>
      <c r="P44" s="8">
        <v>44642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7695</v>
      </c>
      <c r="W44" s="9">
        <v>3318.08</v>
      </c>
      <c r="X44" s="9">
        <v>3064.15</v>
      </c>
      <c r="Y44" s="7">
        <v>0</v>
      </c>
      <c r="Z44" s="9">
        <v>1312.77</v>
      </c>
    </row>
    <row r="45" spans="1:26" x14ac:dyDescent="0.35">
      <c r="A45" s="7" t="s">
        <v>27</v>
      </c>
      <c r="B45" s="7" t="s">
        <v>41</v>
      </c>
      <c r="C45" s="7" t="s">
        <v>46</v>
      </c>
      <c r="D45" s="7" t="s">
        <v>47</v>
      </c>
      <c r="E45" s="7" t="s">
        <v>43</v>
      </c>
      <c r="F45" s="7" t="s">
        <v>53</v>
      </c>
      <c r="G45" s="7">
        <v>2021</v>
      </c>
      <c r="H45" s="7" t="str">
        <f>CONCATENATE("14240557604")</f>
        <v>14240557604</v>
      </c>
      <c r="I45" s="7" t="s">
        <v>30</v>
      </c>
      <c r="J45" s="7" t="s">
        <v>31</v>
      </c>
      <c r="K45" s="7" t="str">
        <f>CONCATENATE("")</f>
        <v/>
      </c>
      <c r="L45" s="7" t="str">
        <f>CONCATENATE("10 10.1 4b")</f>
        <v>10 10.1 4b</v>
      </c>
      <c r="M45" s="7" t="str">
        <f>CONCATENATE("PRZCLL52B23H321W")</f>
        <v>PRZCLL52B23H321W</v>
      </c>
      <c r="N45" s="7" t="s">
        <v>113</v>
      </c>
      <c r="O45" s="7" t="s">
        <v>52</v>
      </c>
      <c r="P45" s="8">
        <v>44642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3587.4</v>
      </c>
      <c r="W45" s="9">
        <v>1546.89</v>
      </c>
      <c r="X45" s="9">
        <v>1428.5</v>
      </c>
      <c r="Y45" s="7">
        <v>0</v>
      </c>
      <c r="Z45" s="7">
        <v>612.01</v>
      </c>
    </row>
    <row r="46" spans="1:26" x14ac:dyDescent="0.35">
      <c r="A46" s="7" t="s">
        <v>27</v>
      </c>
      <c r="B46" s="7" t="s">
        <v>41</v>
      </c>
      <c r="C46" s="7" t="s">
        <v>46</v>
      </c>
      <c r="D46" s="7" t="s">
        <v>65</v>
      </c>
      <c r="E46" s="7" t="s">
        <v>43</v>
      </c>
      <c r="F46" s="7" t="s">
        <v>114</v>
      </c>
      <c r="G46" s="7">
        <v>2021</v>
      </c>
      <c r="H46" s="7" t="str">
        <f>CONCATENATE("14240859075")</f>
        <v>14240859075</v>
      </c>
      <c r="I46" s="7" t="s">
        <v>30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CONCATENATE("BLDLSN88B51E690L")</f>
        <v>BLDLSN88B51E690L</v>
      </c>
      <c r="N46" s="7" t="s">
        <v>115</v>
      </c>
      <c r="O46" s="7" t="s">
        <v>55</v>
      </c>
      <c r="P46" s="8">
        <v>44642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4383.6000000000004</v>
      </c>
      <c r="W46" s="9">
        <v>1890.21</v>
      </c>
      <c r="X46" s="9">
        <v>1745.55</v>
      </c>
      <c r="Y46" s="7">
        <v>0</v>
      </c>
      <c r="Z46" s="7">
        <v>747.84</v>
      </c>
    </row>
    <row r="47" spans="1:26" x14ac:dyDescent="0.35">
      <c r="A47" s="7" t="s">
        <v>27</v>
      </c>
      <c r="B47" s="7" t="s">
        <v>41</v>
      </c>
      <c r="C47" s="7" t="s">
        <v>46</v>
      </c>
      <c r="D47" s="7" t="s">
        <v>47</v>
      </c>
      <c r="E47" s="7" t="s">
        <v>36</v>
      </c>
      <c r="F47" s="7" t="s">
        <v>36</v>
      </c>
      <c r="G47" s="7">
        <v>2021</v>
      </c>
      <c r="H47" s="7" t="str">
        <f>CONCATENATE("14240174327")</f>
        <v>14240174327</v>
      </c>
      <c r="I47" s="7" t="s">
        <v>45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CONCATENATE("TTVLGU39A27G005P")</f>
        <v>TTVLGU39A27G005P</v>
      </c>
      <c r="N47" s="7" t="s">
        <v>116</v>
      </c>
      <c r="O47" s="7" t="s">
        <v>55</v>
      </c>
      <c r="P47" s="8">
        <v>44642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7">
        <v>538.97</v>
      </c>
      <c r="W47" s="7">
        <v>232.4</v>
      </c>
      <c r="X47" s="7">
        <v>214.62</v>
      </c>
      <c r="Y47" s="7">
        <v>0</v>
      </c>
      <c r="Z47" s="7">
        <v>91.95</v>
      </c>
    </row>
    <row r="48" spans="1:26" x14ac:dyDescent="0.35">
      <c r="A48" s="7" t="s">
        <v>27</v>
      </c>
      <c r="B48" s="7" t="s">
        <v>41</v>
      </c>
      <c r="C48" s="7" t="s">
        <v>46</v>
      </c>
      <c r="D48" s="7" t="s">
        <v>47</v>
      </c>
      <c r="E48" s="7" t="s">
        <v>39</v>
      </c>
      <c r="F48" s="7" t="s">
        <v>117</v>
      </c>
      <c r="G48" s="7">
        <v>2021</v>
      </c>
      <c r="H48" s="7" t="str">
        <f>CONCATENATE("14240195074")</f>
        <v>14240195074</v>
      </c>
      <c r="I48" s="7" t="s">
        <v>30</v>
      </c>
      <c r="J48" s="7" t="s">
        <v>31</v>
      </c>
      <c r="K48" s="7" t="str">
        <f>CONCATENATE("")</f>
        <v/>
      </c>
      <c r="L48" s="7" t="str">
        <f>CONCATENATE("11 11.2 4b")</f>
        <v>11 11.2 4b</v>
      </c>
      <c r="M48" s="7" t="str">
        <f>CONCATENATE("NTTVSS80S70H769M")</f>
        <v>NTTVSS80S70H769M</v>
      </c>
      <c r="N48" s="7" t="s">
        <v>118</v>
      </c>
      <c r="O48" s="7" t="s">
        <v>55</v>
      </c>
      <c r="P48" s="8">
        <v>44642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2290.16</v>
      </c>
      <c r="W48" s="7">
        <v>987.52</v>
      </c>
      <c r="X48" s="7">
        <v>911.94</v>
      </c>
      <c r="Y48" s="7">
        <v>0</v>
      </c>
      <c r="Z48" s="7">
        <v>390.7</v>
      </c>
    </row>
    <row r="49" spans="1:26" x14ac:dyDescent="0.35">
      <c r="A49" s="7" t="s">
        <v>27</v>
      </c>
      <c r="B49" s="7" t="s">
        <v>41</v>
      </c>
      <c r="C49" s="7" t="s">
        <v>46</v>
      </c>
      <c r="D49" s="7" t="s">
        <v>47</v>
      </c>
      <c r="E49" s="7" t="s">
        <v>36</v>
      </c>
      <c r="F49" s="7" t="s">
        <v>36</v>
      </c>
      <c r="G49" s="7">
        <v>2021</v>
      </c>
      <c r="H49" s="7" t="str">
        <f>CONCATENATE("14240863093")</f>
        <v>14240863093</v>
      </c>
      <c r="I49" s="7" t="s">
        <v>45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CONCATENATE("CRBGNE37P20H321K")</f>
        <v>CRBGNE37P20H321K</v>
      </c>
      <c r="N49" s="7" t="s">
        <v>119</v>
      </c>
      <c r="O49" s="7" t="s">
        <v>55</v>
      </c>
      <c r="P49" s="8">
        <v>44642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262.68</v>
      </c>
      <c r="W49" s="7">
        <v>113.27</v>
      </c>
      <c r="X49" s="7">
        <v>104.6</v>
      </c>
      <c r="Y49" s="7">
        <v>0</v>
      </c>
      <c r="Z49" s="7">
        <v>44.81</v>
      </c>
    </row>
    <row r="50" spans="1:26" ht="17.5" x14ac:dyDescent="0.35">
      <c r="A50" s="7" t="s">
        <v>27</v>
      </c>
      <c r="B50" s="7" t="s">
        <v>41</v>
      </c>
      <c r="C50" s="7" t="s">
        <v>46</v>
      </c>
      <c r="D50" s="7" t="s">
        <v>65</v>
      </c>
      <c r="E50" s="7" t="s">
        <v>39</v>
      </c>
      <c r="F50" s="7" t="s">
        <v>96</v>
      </c>
      <c r="G50" s="7">
        <v>2021</v>
      </c>
      <c r="H50" s="7" t="str">
        <f>CONCATENATE("14240710963")</f>
        <v>14240710963</v>
      </c>
      <c r="I50" s="7" t="s">
        <v>30</v>
      </c>
      <c r="J50" s="7" t="s">
        <v>31</v>
      </c>
      <c r="K50" s="7" t="str">
        <f>CONCATENATE("")</f>
        <v/>
      </c>
      <c r="L50" s="7" t="str">
        <f>CONCATENATE("11 11.2 4b")</f>
        <v>11 11.2 4b</v>
      </c>
      <c r="M50" s="7" t="str">
        <f>CONCATENATE("02705660427")</f>
        <v>02705660427</v>
      </c>
      <c r="N50" s="7" t="s">
        <v>120</v>
      </c>
      <c r="O50" s="7" t="s">
        <v>55</v>
      </c>
      <c r="P50" s="8">
        <v>44642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7">
        <v>607.86</v>
      </c>
      <c r="W50" s="7">
        <v>262.11</v>
      </c>
      <c r="X50" s="7">
        <v>242.05</v>
      </c>
      <c r="Y50" s="7">
        <v>0</v>
      </c>
      <c r="Z50" s="7">
        <v>103.7</v>
      </c>
    </row>
    <row r="51" spans="1:26" ht="17.5" x14ac:dyDescent="0.35">
      <c r="A51" s="7" t="s">
        <v>27</v>
      </c>
      <c r="B51" s="7" t="s">
        <v>41</v>
      </c>
      <c r="C51" s="7" t="s">
        <v>46</v>
      </c>
      <c r="D51" s="7" t="s">
        <v>65</v>
      </c>
      <c r="E51" s="7" t="s">
        <v>39</v>
      </c>
      <c r="F51" s="7" t="s">
        <v>96</v>
      </c>
      <c r="G51" s="7">
        <v>2021</v>
      </c>
      <c r="H51" s="7" t="str">
        <f>CONCATENATE("14240763996")</f>
        <v>14240763996</v>
      </c>
      <c r="I51" s="7" t="s">
        <v>30</v>
      </c>
      <c r="J51" s="7" t="s">
        <v>31</v>
      </c>
      <c r="K51" s="7" t="str">
        <f>CONCATENATE("")</f>
        <v/>
      </c>
      <c r="L51" s="7" t="str">
        <f>CONCATENATE("11 11.2 4b")</f>
        <v>11 11.2 4b</v>
      </c>
      <c r="M51" s="7" t="str">
        <f>CONCATENATE("02705660427")</f>
        <v>02705660427</v>
      </c>
      <c r="N51" s="7" t="s">
        <v>120</v>
      </c>
      <c r="O51" s="7" t="s">
        <v>55</v>
      </c>
      <c r="P51" s="8">
        <v>44642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4538.3500000000004</v>
      </c>
      <c r="W51" s="9">
        <v>1956.94</v>
      </c>
      <c r="X51" s="9">
        <v>1807.17</v>
      </c>
      <c r="Y51" s="7">
        <v>0</v>
      </c>
      <c r="Z51" s="7">
        <v>774.24</v>
      </c>
    </row>
    <row r="52" spans="1:26" x14ac:dyDescent="0.35">
      <c r="A52" s="7" t="s">
        <v>27</v>
      </c>
      <c r="B52" s="7" t="s">
        <v>41</v>
      </c>
      <c r="C52" s="7" t="s">
        <v>46</v>
      </c>
      <c r="D52" s="7" t="s">
        <v>47</v>
      </c>
      <c r="E52" s="7" t="s">
        <v>38</v>
      </c>
      <c r="F52" s="7" t="s">
        <v>121</v>
      </c>
      <c r="G52" s="7">
        <v>2021</v>
      </c>
      <c r="H52" s="7" t="str">
        <f>CONCATENATE("14240745001")</f>
        <v>14240745001</v>
      </c>
      <c r="I52" s="7" t="s">
        <v>45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CONCATENATE("02448570446")</f>
        <v>02448570446</v>
      </c>
      <c r="N52" s="7" t="s">
        <v>122</v>
      </c>
      <c r="O52" s="7" t="s">
        <v>55</v>
      </c>
      <c r="P52" s="8">
        <v>44642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811.75</v>
      </c>
      <c r="W52" s="7">
        <v>350.03</v>
      </c>
      <c r="X52" s="7">
        <v>323.24</v>
      </c>
      <c r="Y52" s="7">
        <v>0</v>
      </c>
      <c r="Z52" s="7">
        <v>138.47999999999999</v>
      </c>
    </row>
    <row r="53" spans="1:26" x14ac:dyDescent="0.35">
      <c r="A53" s="7" t="s">
        <v>27</v>
      </c>
      <c r="B53" s="7" t="s">
        <v>41</v>
      </c>
      <c r="C53" s="7" t="s">
        <v>46</v>
      </c>
      <c r="D53" s="7" t="s">
        <v>57</v>
      </c>
      <c r="E53" s="7" t="s">
        <v>39</v>
      </c>
      <c r="F53" s="7" t="s">
        <v>102</v>
      </c>
      <c r="G53" s="7">
        <v>2021</v>
      </c>
      <c r="H53" s="7" t="str">
        <f>CONCATENATE("14240707332")</f>
        <v>14240707332</v>
      </c>
      <c r="I53" s="7" t="s">
        <v>30</v>
      </c>
      <c r="J53" s="7" t="s">
        <v>31</v>
      </c>
      <c r="K53" s="7" t="str">
        <f>CONCATENATE("")</f>
        <v/>
      </c>
      <c r="L53" s="7" t="str">
        <f>CONCATENATE("14 14.1 3a")</f>
        <v>14 14.1 3a</v>
      </c>
      <c r="M53" s="7" t="str">
        <f>CONCATENATE("MCHJGN73D23A952L")</f>
        <v>MCHJGN73D23A952L</v>
      </c>
      <c r="N53" s="7" t="s">
        <v>123</v>
      </c>
      <c r="O53" s="7" t="s">
        <v>112</v>
      </c>
      <c r="P53" s="8">
        <v>44642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3839.6</v>
      </c>
      <c r="W53" s="9">
        <v>1655.64</v>
      </c>
      <c r="X53" s="9">
        <v>1528.93</v>
      </c>
      <c r="Y53" s="7">
        <v>0</v>
      </c>
      <c r="Z53" s="7">
        <v>655.03</v>
      </c>
    </row>
    <row r="54" spans="1:26" x14ac:dyDescent="0.35">
      <c r="A54" s="7" t="s">
        <v>27</v>
      </c>
      <c r="B54" s="7" t="s">
        <v>41</v>
      </c>
      <c r="C54" s="7" t="s">
        <v>46</v>
      </c>
      <c r="D54" s="7" t="s">
        <v>47</v>
      </c>
      <c r="E54" s="7" t="s">
        <v>44</v>
      </c>
      <c r="F54" s="7" t="s">
        <v>124</v>
      </c>
      <c r="G54" s="7">
        <v>2021</v>
      </c>
      <c r="H54" s="7" t="str">
        <f>CONCATENATE("14240894361")</f>
        <v>14240894361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CONCATENATE("MZZLCN75A21A462K")</f>
        <v>MZZLCN75A21A462K</v>
      </c>
      <c r="N54" s="7" t="s">
        <v>125</v>
      </c>
      <c r="O54" s="7" t="s">
        <v>55</v>
      </c>
      <c r="P54" s="8">
        <v>44642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7">
        <v>807.41</v>
      </c>
      <c r="W54" s="7">
        <v>348.16</v>
      </c>
      <c r="X54" s="7">
        <v>321.51</v>
      </c>
      <c r="Y54" s="7">
        <v>0</v>
      </c>
      <c r="Z54" s="7">
        <v>137.74</v>
      </c>
    </row>
    <row r="55" spans="1:26" ht="17.5" x14ac:dyDescent="0.35">
      <c r="A55" s="7" t="s">
        <v>27</v>
      </c>
      <c r="B55" s="7" t="s">
        <v>41</v>
      </c>
      <c r="C55" s="7" t="s">
        <v>46</v>
      </c>
      <c r="D55" s="7" t="s">
        <v>47</v>
      </c>
      <c r="E55" s="7" t="s">
        <v>39</v>
      </c>
      <c r="F55" s="7" t="s">
        <v>80</v>
      </c>
      <c r="G55" s="7">
        <v>2021</v>
      </c>
      <c r="H55" s="7" t="str">
        <f>CONCATENATE("14240711003")</f>
        <v>14240711003</v>
      </c>
      <c r="I55" s="7" t="s">
        <v>45</v>
      </c>
      <c r="J55" s="7" t="s">
        <v>31</v>
      </c>
      <c r="K55" s="7" t="str">
        <f>CONCATENATE("")</f>
        <v/>
      </c>
      <c r="L55" s="7" t="str">
        <f>CONCATENATE("11 11.2 4b")</f>
        <v>11 11.2 4b</v>
      </c>
      <c r="M55" s="7" t="str">
        <f>CONCATENATE("CMNMSM73B04H769X")</f>
        <v>CMNMSM73B04H769X</v>
      </c>
      <c r="N55" s="7" t="s">
        <v>126</v>
      </c>
      <c r="O55" s="7" t="s">
        <v>55</v>
      </c>
      <c r="P55" s="8">
        <v>44642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1393.19</v>
      </c>
      <c r="W55" s="7">
        <v>600.74</v>
      </c>
      <c r="X55" s="7">
        <v>554.77</v>
      </c>
      <c r="Y55" s="7">
        <v>0</v>
      </c>
      <c r="Z55" s="7">
        <v>237.68</v>
      </c>
    </row>
    <row r="56" spans="1:26" x14ac:dyDescent="0.35">
      <c r="A56" s="7" t="s">
        <v>27</v>
      </c>
      <c r="B56" s="7" t="s">
        <v>41</v>
      </c>
      <c r="C56" s="7" t="s">
        <v>46</v>
      </c>
      <c r="D56" s="7" t="s">
        <v>47</v>
      </c>
      <c r="E56" s="7" t="s">
        <v>36</v>
      </c>
      <c r="F56" s="7" t="s">
        <v>36</v>
      </c>
      <c r="G56" s="7">
        <v>2021</v>
      </c>
      <c r="H56" s="7" t="str">
        <f>CONCATENATE("14240798562")</f>
        <v>14240798562</v>
      </c>
      <c r="I56" s="7" t="s">
        <v>45</v>
      </c>
      <c r="J56" s="7" t="s">
        <v>31</v>
      </c>
      <c r="K56" s="7" t="str">
        <f>CONCATENATE("")</f>
        <v/>
      </c>
      <c r="L56" s="7" t="str">
        <f>CONCATENATE("11 11.2 4b")</f>
        <v>11 11.2 4b</v>
      </c>
      <c r="M56" s="7" t="str">
        <f>CONCATENATE("CRBLGN65H61H321Q")</f>
        <v>CRBLGN65H61H321Q</v>
      </c>
      <c r="N56" s="7" t="s">
        <v>127</v>
      </c>
      <c r="O56" s="7" t="s">
        <v>55</v>
      </c>
      <c r="P56" s="8">
        <v>44642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7">
        <v>94.7</v>
      </c>
      <c r="W56" s="7">
        <v>40.83</v>
      </c>
      <c r="X56" s="7">
        <v>37.71</v>
      </c>
      <c r="Y56" s="7">
        <v>0</v>
      </c>
      <c r="Z56" s="7">
        <v>16.16</v>
      </c>
    </row>
    <row r="57" spans="1:26" ht="17.5" x14ac:dyDescent="0.35">
      <c r="A57" s="7" t="s">
        <v>27</v>
      </c>
      <c r="B57" s="7" t="s">
        <v>41</v>
      </c>
      <c r="C57" s="7" t="s">
        <v>46</v>
      </c>
      <c r="D57" s="7" t="s">
        <v>47</v>
      </c>
      <c r="E57" s="7" t="s">
        <v>43</v>
      </c>
      <c r="F57" s="7" t="s">
        <v>53</v>
      </c>
      <c r="G57" s="7">
        <v>2021</v>
      </c>
      <c r="H57" s="7" t="str">
        <f>CONCATENATE("14240790098")</f>
        <v>14240790098</v>
      </c>
      <c r="I57" s="7" t="s">
        <v>45</v>
      </c>
      <c r="J57" s="7" t="s">
        <v>31</v>
      </c>
      <c r="K57" s="7" t="str">
        <f>CONCATENATE("")</f>
        <v/>
      </c>
      <c r="L57" s="7" t="str">
        <f>CONCATENATE("11 11.2 4b")</f>
        <v>11 11.2 4b</v>
      </c>
      <c r="M57" s="7" t="str">
        <f>CONCATENATE("01967970441")</f>
        <v>01967970441</v>
      </c>
      <c r="N57" s="7" t="s">
        <v>128</v>
      </c>
      <c r="O57" s="7" t="s">
        <v>55</v>
      </c>
      <c r="P57" s="8">
        <v>44642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7">
        <v>533.96</v>
      </c>
      <c r="W57" s="7">
        <v>230.24</v>
      </c>
      <c r="X57" s="7">
        <v>212.62</v>
      </c>
      <c r="Y57" s="7">
        <v>0</v>
      </c>
      <c r="Z57" s="7">
        <v>91.1</v>
      </c>
    </row>
    <row r="58" spans="1:26" x14ac:dyDescent="0.35">
      <c r="A58" s="7" t="s">
        <v>27</v>
      </c>
      <c r="B58" s="7" t="s">
        <v>41</v>
      </c>
      <c r="C58" s="7" t="s">
        <v>46</v>
      </c>
      <c r="D58" s="7" t="s">
        <v>47</v>
      </c>
      <c r="E58" s="7" t="s">
        <v>38</v>
      </c>
      <c r="F58" s="7" t="s">
        <v>129</v>
      </c>
      <c r="G58" s="7">
        <v>2021</v>
      </c>
      <c r="H58" s="7" t="str">
        <f>CONCATENATE("14240426305")</f>
        <v>14240426305</v>
      </c>
      <c r="I58" s="7" t="s">
        <v>30</v>
      </c>
      <c r="J58" s="7" t="s">
        <v>31</v>
      </c>
      <c r="K58" s="7" t="str">
        <f>CONCATENATE("")</f>
        <v/>
      </c>
      <c r="L58" s="7" t="str">
        <f>CONCATENATE("11 11.2 4b")</f>
        <v>11 11.2 4b</v>
      </c>
      <c r="M58" s="7" t="str">
        <f>CONCATENATE("RSCBRN50B10F697K")</f>
        <v>RSCBRN50B10F697K</v>
      </c>
      <c r="N58" s="7" t="s">
        <v>130</v>
      </c>
      <c r="O58" s="7" t="s">
        <v>55</v>
      </c>
      <c r="P58" s="8">
        <v>44642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5860.28</v>
      </c>
      <c r="W58" s="9">
        <v>2526.9499999999998</v>
      </c>
      <c r="X58" s="9">
        <v>2333.56</v>
      </c>
      <c r="Y58" s="7">
        <v>0</v>
      </c>
      <c r="Z58" s="7">
        <v>999.77</v>
      </c>
    </row>
    <row r="59" spans="1:26" x14ac:dyDescent="0.35">
      <c r="A59" s="7" t="s">
        <v>27</v>
      </c>
      <c r="B59" s="7" t="s">
        <v>41</v>
      </c>
      <c r="C59" s="7" t="s">
        <v>46</v>
      </c>
      <c r="D59" s="7" t="s">
        <v>65</v>
      </c>
      <c r="E59" s="7" t="s">
        <v>29</v>
      </c>
      <c r="F59" s="7" t="s">
        <v>66</v>
      </c>
      <c r="G59" s="7">
        <v>2021</v>
      </c>
      <c r="H59" s="7" t="str">
        <f>CONCATENATE("14240044140")</f>
        <v>14240044140</v>
      </c>
      <c r="I59" s="7" t="s">
        <v>30</v>
      </c>
      <c r="J59" s="7" t="s">
        <v>31</v>
      </c>
      <c r="K59" s="7" t="str">
        <f>CONCATENATE("")</f>
        <v/>
      </c>
      <c r="L59" s="7" t="str">
        <f>CONCATENATE("11 11.1 4b")</f>
        <v>11 11.1 4b</v>
      </c>
      <c r="M59" s="7" t="str">
        <f>CONCATENATE("BRNGLI92H48E388A")</f>
        <v>BRNGLI92H48E388A</v>
      </c>
      <c r="N59" s="7" t="s">
        <v>131</v>
      </c>
      <c r="O59" s="7" t="s">
        <v>55</v>
      </c>
      <c r="P59" s="8">
        <v>44642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2376.0100000000002</v>
      </c>
      <c r="W59" s="9">
        <v>1024.54</v>
      </c>
      <c r="X59" s="7">
        <v>946.13</v>
      </c>
      <c r="Y59" s="7">
        <v>0</v>
      </c>
      <c r="Z59" s="7">
        <v>405.34</v>
      </c>
    </row>
    <row r="60" spans="1:26" ht="17.5" x14ac:dyDescent="0.35">
      <c r="A60" s="7" t="s">
        <v>27</v>
      </c>
      <c r="B60" s="7" t="s">
        <v>41</v>
      </c>
      <c r="C60" s="7" t="s">
        <v>46</v>
      </c>
      <c r="D60" s="7" t="s">
        <v>57</v>
      </c>
      <c r="E60" s="7" t="s">
        <v>39</v>
      </c>
      <c r="F60" s="7" t="s">
        <v>132</v>
      </c>
      <c r="G60" s="7">
        <v>2021</v>
      </c>
      <c r="H60" s="7" t="str">
        <f>CONCATENATE("14240748906")</f>
        <v>14240748906</v>
      </c>
      <c r="I60" s="7" t="s">
        <v>30</v>
      </c>
      <c r="J60" s="7" t="s">
        <v>31</v>
      </c>
      <c r="K60" s="7" t="str">
        <f>CONCATENATE("")</f>
        <v/>
      </c>
      <c r="L60" s="7" t="str">
        <f>CONCATENATE("11 11.1 4b")</f>
        <v>11 11.1 4b</v>
      </c>
      <c r="M60" s="7" t="str">
        <f>CONCATENATE("02539970414")</f>
        <v>02539970414</v>
      </c>
      <c r="N60" s="7" t="s">
        <v>133</v>
      </c>
      <c r="O60" s="7" t="s">
        <v>55</v>
      </c>
      <c r="P60" s="8">
        <v>44642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7">
        <v>207.36</v>
      </c>
      <c r="W60" s="7">
        <v>89.41</v>
      </c>
      <c r="X60" s="7">
        <v>82.57</v>
      </c>
      <c r="Y60" s="7">
        <v>0</v>
      </c>
      <c r="Z60" s="7">
        <v>35.380000000000003</v>
      </c>
    </row>
    <row r="61" spans="1:26" x14ac:dyDescent="0.35">
      <c r="A61" s="7" t="s">
        <v>27</v>
      </c>
      <c r="B61" s="7" t="s">
        <v>41</v>
      </c>
      <c r="C61" s="7" t="s">
        <v>46</v>
      </c>
      <c r="D61" s="7" t="s">
        <v>65</v>
      </c>
      <c r="E61" s="7" t="s">
        <v>44</v>
      </c>
      <c r="F61" s="7" t="s">
        <v>134</v>
      </c>
      <c r="G61" s="7">
        <v>2021</v>
      </c>
      <c r="H61" s="7" t="str">
        <f>CONCATENATE("14240968769")</f>
        <v>14240968769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CONCATENATE("02756900425")</f>
        <v>02756900425</v>
      </c>
      <c r="N61" s="7" t="s">
        <v>135</v>
      </c>
      <c r="O61" s="7" t="s">
        <v>55</v>
      </c>
      <c r="P61" s="8">
        <v>44642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1015.48</v>
      </c>
      <c r="W61" s="7">
        <v>437.87</v>
      </c>
      <c r="X61" s="7">
        <v>404.36</v>
      </c>
      <c r="Y61" s="7">
        <v>0</v>
      </c>
      <c r="Z61" s="7">
        <v>173.25</v>
      </c>
    </row>
    <row r="62" spans="1:26" x14ac:dyDescent="0.35">
      <c r="A62" s="7" t="s">
        <v>27</v>
      </c>
      <c r="B62" s="7" t="s">
        <v>41</v>
      </c>
      <c r="C62" s="7" t="s">
        <v>46</v>
      </c>
      <c r="D62" s="7" t="s">
        <v>57</v>
      </c>
      <c r="E62" s="7" t="s">
        <v>39</v>
      </c>
      <c r="F62" s="7" t="s">
        <v>136</v>
      </c>
      <c r="G62" s="7">
        <v>2021</v>
      </c>
      <c r="H62" s="7" t="str">
        <f>CONCATENATE("14240800137")</f>
        <v>14240800137</v>
      </c>
      <c r="I62" s="7" t="s">
        <v>30</v>
      </c>
      <c r="J62" s="7" t="s">
        <v>31</v>
      </c>
      <c r="K62" s="7" t="str">
        <f>CONCATENATE("")</f>
        <v/>
      </c>
      <c r="L62" s="7" t="str">
        <f>CONCATENATE("14 14.1 3a")</f>
        <v>14 14.1 3a</v>
      </c>
      <c r="M62" s="7" t="str">
        <f>CONCATENATE("BRRGCR61R30Z130G")</f>
        <v>BRRGCR61R30Z130G</v>
      </c>
      <c r="N62" s="7" t="s">
        <v>137</v>
      </c>
      <c r="O62" s="7" t="s">
        <v>138</v>
      </c>
      <c r="P62" s="8">
        <v>44642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5097.3999999999996</v>
      </c>
      <c r="W62" s="9">
        <v>2198</v>
      </c>
      <c r="X62" s="9">
        <v>2029.78</v>
      </c>
      <c r="Y62" s="7">
        <v>0</v>
      </c>
      <c r="Z62" s="7">
        <v>869.62</v>
      </c>
    </row>
    <row r="63" spans="1:26" x14ac:dyDescent="0.35">
      <c r="A63" s="7" t="s">
        <v>27</v>
      </c>
      <c r="B63" s="7" t="s">
        <v>41</v>
      </c>
      <c r="C63" s="7" t="s">
        <v>46</v>
      </c>
      <c r="D63" s="7" t="s">
        <v>47</v>
      </c>
      <c r="E63" s="7" t="s">
        <v>39</v>
      </c>
      <c r="F63" s="7" t="s">
        <v>139</v>
      </c>
      <c r="G63" s="7">
        <v>2021</v>
      </c>
      <c r="H63" s="7" t="str">
        <f>CONCATENATE("14240229709")</f>
        <v>14240229709</v>
      </c>
      <c r="I63" s="7" t="s">
        <v>45</v>
      </c>
      <c r="J63" s="7" t="s">
        <v>31</v>
      </c>
      <c r="K63" s="7" t="str">
        <f>CONCATENATE("")</f>
        <v/>
      </c>
      <c r="L63" s="7" t="str">
        <f>CONCATENATE("11 11.2 4b")</f>
        <v>11 11.2 4b</v>
      </c>
      <c r="M63" s="7" t="str">
        <f>CONCATENATE("DLRLSN93A12A462J")</f>
        <v>DLRLSN93A12A462J</v>
      </c>
      <c r="N63" s="7" t="s">
        <v>140</v>
      </c>
      <c r="O63" s="7" t="s">
        <v>55</v>
      </c>
      <c r="P63" s="8">
        <v>44642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1123.3499999999999</v>
      </c>
      <c r="W63" s="7">
        <v>484.39</v>
      </c>
      <c r="X63" s="7">
        <v>447.32</v>
      </c>
      <c r="Y63" s="7">
        <v>0</v>
      </c>
      <c r="Z63" s="7">
        <v>191.64</v>
      </c>
    </row>
    <row r="64" spans="1:26" x14ac:dyDescent="0.35">
      <c r="A64" s="7" t="s">
        <v>27</v>
      </c>
      <c r="B64" s="7" t="s">
        <v>41</v>
      </c>
      <c r="C64" s="7" t="s">
        <v>46</v>
      </c>
      <c r="D64" s="7" t="s">
        <v>65</v>
      </c>
      <c r="E64" s="7" t="s">
        <v>39</v>
      </c>
      <c r="F64" s="7" t="s">
        <v>96</v>
      </c>
      <c r="G64" s="7">
        <v>2021</v>
      </c>
      <c r="H64" s="7" t="str">
        <f>CONCATENATE("14240762311")</f>
        <v>14240762311</v>
      </c>
      <c r="I64" s="7" t="s">
        <v>30</v>
      </c>
      <c r="J64" s="7" t="s">
        <v>31</v>
      </c>
      <c r="K64" s="7" t="str">
        <f>CONCATENATE("")</f>
        <v/>
      </c>
      <c r="L64" s="7" t="str">
        <f>CONCATENATE("11 11.1 4b")</f>
        <v>11 11.1 4b</v>
      </c>
      <c r="M64" s="7" t="str">
        <f>CONCATENATE("MRCMHL92B25E388A")</f>
        <v>MRCMHL92B25E388A</v>
      </c>
      <c r="N64" s="7" t="s">
        <v>141</v>
      </c>
      <c r="O64" s="7" t="s">
        <v>55</v>
      </c>
      <c r="P64" s="8">
        <v>44642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1689.59</v>
      </c>
      <c r="W64" s="7">
        <v>728.55</v>
      </c>
      <c r="X64" s="7">
        <v>672.79</v>
      </c>
      <c r="Y64" s="7">
        <v>0</v>
      </c>
      <c r="Z64" s="7">
        <v>288.25</v>
      </c>
    </row>
    <row r="65" spans="1:26" x14ac:dyDescent="0.35">
      <c r="A65" s="7" t="s">
        <v>27</v>
      </c>
      <c r="B65" s="7" t="s">
        <v>41</v>
      </c>
      <c r="C65" s="7" t="s">
        <v>46</v>
      </c>
      <c r="D65" s="7" t="s">
        <v>65</v>
      </c>
      <c r="E65" s="7" t="s">
        <v>38</v>
      </c>
      <c r="F65" s="7" t="s">
        <v>142</v>
      </c>
      <c r="G65" s="7">
        <v>2021</v>
      </c>
      <c r="H65" s="7" t="str">
        <f>CONCATENATE("14240546433")</f>
        <v>14240546433</v>
      </c>
      <c r="I65" s="7" t="s">
        <v>30</v>
      </c>
      <c r="J65" s="7" t="s">
        <v>31</v>
      </c>
      <c r="K65" s="7" t="str">
        <f>CONCATENATE("")</f>
        <v/>
      </c>
      <c r="L65" s="7" t="str">
        <f>CONCATENATE("11 11.2 4b")</f>
        <v>11 11.2 4b</v>
      </c>
      <c r="M65" s="7" t="str">
        <f>CONCATENATE("MRNPLA75P30H211M")</f>
        <v>MRNPLA75P30H211M</v>
      </c>
      <c r="N65" s="7" t="s">
        <v>143</v>
      </c>
      <c r="O65" s="7" t="s">
        <v>55</v>
      </c>
      <c r="P65" s="8">
        <v>44642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4150.2</v>
      </c>
      <c r="W65" s="9">
        <v>1789.57</v>
      </c>
      <c r="X65" s="9">
        <v>1652.61</v>
      </c>
      <c r="Y65" s="7">
        <v>0</v>
      </c>
      <c r="Z65" s="7">
        <v>708.02</v>
      </c>
    </row>
    <row r="66" spans="1:26" x14ac:dyDescent="0.35">
      <c r="A66" s="7" t="s">
        <v>27</v>
      </c>
      <c r="B66" s="7" t="s">
        <v>41</v>
      </c>
      <c r="C66" s="7" t="s">
        <v>46</v>
      </c>
      <c r="D66" s="7" t="s">
        <v>47</v>
      </c>
      <c r="E66" s="7" t="s">
        <v>38</v>
      </c>
      <c r="F66" s="7" t="s">
        <v>48</v>
      </c>
      <c r="G66" s="7">
        <v>2021</v>
      </c>
      <c r="H66" s="7" t="str">
        <f>CONCATENATE("14240128661")</f>
        <v>14240128661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11.2 4b")</f>
        <v>11 11.2 4b</v>
      </c>
      <c r="M66" s="7" t="str">
        <f>CONCATENATE("VLLRSO35B43C321Y")</f>
        <v>VLLRSO35B43C321Y</v>
      </c>
      <c r="N66" s="7" t="s">
        <v>144</v>
      </c>
      <c r="O66" s="7" t="s">
        <v>55</v>
      </c>
      <c r="P66" s="8">
        <v>44642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7">
        <v>18.89</v>
      </c>
      <c r="W66" s="7">
        <v>8.15</v>
      </c>
      <c r="X66" s="7">
        <v>7.52</v>
      </c>
      <c r="Y66" s="7">
        <v>0</v>
      </c>
      <c r="Z66" s="7">
        <v>3.22</v>
      </c>
    </row>
    <row r="67" spans="1:26" x14ac:dyDescent="0.35">
      <c r="A67" s="7" t="s">
        <v>27</v>
      </c>
      <c r="B67" s="7" t="s">
        <v>41</v>
      </c>
      <c r="C67" s="7" t="s">
        <v>46</v>
      </c>
      <c r="D67" s="7" t="s">
        <v>57</v>
      </c>
      <c r="E67" s="7" t="s">
        <v>39</v>
      </c>
      <c r="F67" s="7" t="s">
        <v>132</v>
      </c>
      <c r="G67" s="7">
        <v>2021</v>
      </c>
      <c r="H67" s="7" t="str">
        <f>CONCATENATE("14240504689")</f>
        <v>14240504689</v>
      </c>
      <c r="I67" s="7" t="s">
        <v>30</v>
      </c>
      <c r="J67" s="7" t="s">
        <v>31</v>
      </c>
      <c r="K67" s="7" t="str">
        <f>CONCATENATE("")</f>
        <v/>
      </c>
      <c r="L67" s="7" t="str">
        <f>CONCATENATE("11 11.1 4b")</f>
        <v>11 11.1 4b</v>
      </c>
      <c r="M67" s="7" t="str">
        <f>CONCATENATE("MRLCLD56E16D488B")</f>
        <v>MRLCLD56E16D488B</v>
      </c>
      <c r="N67" s="7" t="s">
        <v>145</v>
      </c>
      <c r="O67" s="7" t="s">
        <v>55</v>
      </c>
      <c r="P67" s="8">
        <v>44642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7">
        <v>723.76</v>
      </c>
      <c r="W67" s="7">
        <v>312.08999999999997</v>
      </c>
      <c r="X67" s="7">
        <v>288.2</v>
      </c>
      <c r="Y67" s="7">
        <v>0</v>
      </c>
      <c r="Z67" s="7">
        <v>123.47</v>
      </c>
    </row>
    <row r="68" spans="1:26" x14ac:dyDescent="0.35">
      <c r="A68" s="7" t="s">
        <v>27</v>
      </c>
      <c r="B68" s="7" t="s">
        <v>41</v>
      </c>
      <c r="C68" s="7" t="s">
        <v>46</v>
      </c>
      <c r="D68" s="7" t="s">
        <v>47</v>
      </c>
      <c r="E68" s="7" t="s">
        <v>36</v>
      </c>
      <c r="F68" s="7" t="s">
        <v>36</v>
      </c>
      <c r="G68" s="7">
        <v>2021</v>
      </c>
      <c r="H68" s="7" t="str">
        <f>CONCATENATE("14240829144")</f>
        <v>14240829144</v>
      </c>
      <c r="I68" s="7" t="s">
        <v>30</v>
      </c>
      <c r="J68" s="7" t="s">
        <v>31</v>
      </c>
      <c r="K68" s="7" t="str">
        <f>CONCATENATE("")</f>
        <v/>
      </c>
      <c r="L68" s="7" t="str">
        <f>CONCATENATE("11 11.2 4b")</f>
        <v>11 11.2 4b</v>
      </c>
      <c r="M68" s="7" t="str">
        <f>CONCATENATE("01655530440")</f>
        <v>01655530440</v>
      </c>
      <c r="N68" s="7" t="s">
        <v>146</v>
      </c>
      <c r="O68" s="7" t="s">
        <v>55</v>
      </c>
      <c r="P68" s="8">
        <v>44642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2375.4299999999998</v>
      </c>
      <c r="W68" s="9">
        <v>1024.29</v>
      </c>
      <c r="X68" s="7">
        <v>945.9</v>
      </c>
      <c r="Y68" s="7">
        <v>0</v>
      </c>
      <c r="Z68" s="7">
        <v>405.24</v>
      </c>
    </row>
    <row r="69" spans="1:26" x14ac:dyDescent="0.35">
      <c r="A69" s="7" t="s">
        <v>27</v>
      </c>
      <c r="B69" s="7" t="s">
        <v>41</v>
      </c>
      <c r="C69" s="7" t="s">
        <v>46</v>
      </c>
      <c r="D69" s="7" t="s">
        <v>47</v>
      </c>
      <c r="E69" s="7" t="s">
        <v>36</v>
      </c>
      <c r="F69" s="7" t="s">
        <v>36</v>
      </c>
      <c r="G69" s="7">
        <v>2021</v>
      </c>
      <c r="H69" s="7" t="str">
        <f>CONCATENATE("14240825753")</f>
        <v>14240825753</v>
      </c>
      <c r="I69" s="7" t="s">
        <v>30</v>
      </c>
      <c r="J69" s="7" t="s">
        <v>31</v>
      </c>
      <c r="K69" s="7" t="str">
        <f>CONCATENATE("")</f>
        <v/>
      </c>
      <c r="L69" s="7" t="str">
        <f>CONCATENATE("11 11.2 4b")</f>
        <v>11 11.2 4b</v>
      </c>
      <c r="M69" s="7" t="str">
        <f>CONCATENATE("01655530440")</f>
        <v>01655530440</v>
      </c>
      <c r="N69" s="7" t="s">
        <v>146</v>
      </c>
      <c r="O69" s="7" t="s">
        <v>55</v>
      </c>
      <c r="P69" s="8">
        <v>44642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1770.51</v>
      </c>
      <c r="W69" s="7">
        <v>763.44</v>
      </c>
      <c r="X69" s="7">
        <v>705.02</v>
      </c>
      <c r="Y69" s="7">
        <v>0</v>
      </c>
      <c r="Z69" s="7">
        <v>302.05</v>
      </c>
    </row>
    <row r="70" spans="1:26" x14ac:dyDescent="0.35">
      <c r="A70" s="7" t="s">
        <v>27</v>
      </c>
      <c r="B70" s="7" t="s">
        <v>41</v>
      </c>
      <c r="C70" s="7" t="s">
        <v>46</v>
      </c>
      <c r="D70" s="7" t="s">
        <v>65</v>
      </c>
      <c r="E70" s="7" t="s">
        <v>39</v>
      </c>
      <c r="F70" s="7" t="s">
        <v>75</v>
      </c>
      <c r="G70" s="7">
        <v>2021</v>
      </c>
      <c r="H70" s="7" t="str">
        <f>CONCATENATE("14240749904")</f>
        <v>14240749904</v>
      </c>
      <c r="I70" s="7" t="s">
        <v>30</v>
      </c>
      <c r="J70" s="7" t="s">
        <v>31</v>
      </c>
      <c r="K70" s="7" t="str">
        <f>CONCATENATE("")</f>
        <v/>
      </c>
      <c r="L70" s="7" t="str">
        <f>CONCATENATE("11 11.2 4b")</f>
        <v>11 11.2 4b</v>
      </c>
      <c r="M70" s="7" t="str">
        <f>CONCATENATE("PVRMSM71H07D451H")</f>
        <v>PVRMSM71H07D451H</v>
      </c>
      <c r="N70" s="7" t="s">
        <v>147</v>
      </c>
      <c r="O70" s="7" t="s">
        <v>55</v>
      </c>
      <c r="P70" s="8">
        <v>44642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7">
        <v>555.39</v>
      </c>
      <c r="W70" s="7">
        <v>239.48</v>
      </c>
      <c r="X70" s="7">
        <v>221.16</v>
      </c>
      <c r="Y70" s="7">
        <v>0</v>
      </c>
      <c r="Z70" s="7">
        <v>94.75</v>
      </c>
    </row>
    <row r="71" spans="1:26" x14ac:dyDescent="0.35">
      <c r="A71" s="7" t="s">
        <v>27</v>
      </c>
      <c r="B71" s="7" t="s">
        <v>41</v>
      </c>
      <c r="C71" s="7" t="s">
        <v>46</v>
      </c>
      <c r="D71" s="7" t="s">
        <v>63</v>
      </c>
      <c r="E71" s="7" t="s">
        <v>42</v>
      </c>
      <c r="F71" s="7" t="s">
        <v>148</v>
      </c>
      <c r="G71" s="7">
        <v>2021</v>
      </c>
      <c r="H71" s="7" t="str">
        <f>CONCATENATE("14241080861")</f>
        <v>14241080861</v>
      </c>
      <c r="I71" s="7" t="s">
        <v>30</v>
      </c>
      <c r="J71" s="7" t="s">
        <v>31</v>
      </c>
      <c r="K71" s="7" t="str">
        <f>CONCATENATE("")</f>
        <v/>
      </c>
      <c r="L71" s="7" t="str">
        <f>CONCATENATE("14 14.1 3a")</f>
        <v>14 14.1 3a</v>
      </c>
      <c r="M71" s="7" t="str">
        <f>CONCATENATE("01089250433")</f>
        <v>01089250433</v>
      </c>
      <c r="N71" s="7" t="s">
        <v>149</v>
      </c>
      <c r="O71" s="7" t="s">
        <v>108</v>
      </c>
      <c r="P71" s="8">
        <v>44642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2144.34</v>
      </c>
      <c r="W71" s="7">
        <v>924.64</v>
      </c>
      <c r="X71" s="7">
        <v>853.88</v>
      </c>
      <c r="Y71" s="7">
        <v>0</v>
      </c>
      <c r="Z71" s="7">
        <v>365.82</v>
      </c>
    </row>
    <row r="72" spans="1:26" x14ac:dyDescent="0.35">
      <c r="A72" s="7" t="s">
        <v>27</v>
      </c>
      <c r="B72" s="7" t="s">
        <v>41</v>
      </c>
      <c r="C72" s="7" t="s">
        <v>46</v>
      </c>
      <c r="D72" s="7" t="s">
        <v>47</v>
      </c>
      <c r="E72" s="7" t="s">
        <v>38</v>
      </c>
      <c r="F72" s="7" t="s">
        <v>121</v>
      </c>
      <c r="G72" s="7">
        <v>2021</v>
      </c>
      <c r="H72" s="7" t="str">
        <f>CONCATENATE("14240718164")</f>
        <v>14240718164</v>
      </c>
      <c r="I72" s="7" t="s">
        <v>30</v>
      </c>
      <c r="J72" s="7" t="s">
        <v>31</v>
      </c>
      <c r="K72" s="7" t="str">
        <f>CONCATENATE("")</f>
        <v/>
      </c>
      <c r="L72" s="7" t="str">
        <f>CONCATENATE("11 11.2 4b")</f>
        <v>11 11.2 4b</v>
      </c>
      <c r="M72" s="7" t="str">
        <f>CONCATENATE("LNDTZN71R09G005Q")</f>
        <v>LNDTZN71R09G005Q</v>
      </c>
      <c r="N72" s="7" t="s">
        <v>150</v>
      </c>
      <c r="O72" s="7" t="s">
        <v>55</v>
      </c>
      <c r="P72" s="8">
        <v>44642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871.39</v>
      </c>
      <c r="W72" s="7">
        <v>375.74</v>
      </c>
      <c r="X72" s="7">
        <v>346.99</v>
      </c>
      <c r="Y72" s="7">
        <v>0</v>
      </c>
      <c r="Z72" s="7">
        <v>148.66</v>
      </c>
    </row>
    <row r="73" spans="1:26" x14ac:dyDescent="0.35">
      <c r="A73" s="7" t="s">
        <v>27</v>
      </c>
      <c r="B73" s="7" t="s">
        <v>41</v>
      </c>
      <c r="C73" s="7" t="s">
        <v>46</v>
      </c>
      <c r="D73" s="7" t="s">
        <v>65</v>
      </c>
      <c r="E73" s="7" t="s">
        <v>29</v>
      </c>
      <c r="F73" s="7" t="s">
        <v>83</v>
      </c>
      <c r="G73" s="7">
        <v>2021</v>
      </c>
      <c r="H73" s="7" t="str">
        <f>CONCATENATE("14241332106")</f>
        <v>14241332106</v>
      </c>
      <c r="I73" s="7" t="s">
        <v>30</v>
      </c>
      <c r="J73" s="7" t="s">
        <v>31</v>
      </c>
      <c r="K73" s="7" t="str">
        <f>CONCATENATE("")</f>
        <v/>
      </c>
      <c r="L73" s="7" t="str">
        <f>CONCATENATE("11 11.1 4b")</f>
        <v>11 11.1 4b</v>
      </c>
      <c r="M73" s="7" t="str">
        <f>CONCATENATE("PLNNGL95C07B352J")</f>
        <v>PLNNGL95C07B352J</v>
      </c>
      <c r="N73" s="7" t="s">
        <v>151</v>
      </c>
      <c r="O73" s="7" t="s">
        <v>55</v>
      </c>
      <c r="P73" s="8">
        <v>44642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7">
        <v>699.54</v>
      </c>
      <c r="W73" s="7">
        <v>301.64</v>
      </c>
      <c r="X73" s="7">
        <v>278.56</v>
      </c>
      <c r="Y73" s="7">
        <v>0</v>
      </c>
      <c r="Z73" s="7">
        <v>119.34</v>
      </c>
    </row>
    <row r="74" spans="1:26" x14ac:dyDescent="0.35">
      <c r="A74" s="7" t="s">
        <v>27</v>
      </c>
      <c r="B74" s="7" t="s">
        <v>41</v>
      </c>
      <c r="C74" s="7" t="s">
        <v>46</v>
      </c>
      <c r="D74" s="7" t="s">
        <v>47</v>
      </c>
      <c r="E74" s="7" t="s">
        <v>36</v>
      </c>
      <c r="F74" s="7" t="s">
        <v>36</v>
      </c>
      <c r="G74" s="7">
        <v>2021</v>
      </c>
      <c r="H74" s="7" t="str">
        <f>CONCATENATE("14240442880")</f>
        <v>14240442880</v>
      </c>
      <c r="I74" s="7" t="s">
        <v>45</v>
      </c>
      <c r="J74" s="7" t="s">
        <v>31</v>
      </c>
      <c r="K74" s="7" t="str">
        <f>CONCATENATE("")</f>
        <v/>
      </c>
      <c r="L74" s="7" t="str">
        <f>CONCATENATE("11 11.2 4b")</f>
        <v>11 11.2 4b</v>
      </c>
      <c r="M74" s="7" t="str">
        <f>CONCATENATE("VSPGNE89C55H769H")</f>
        <v>VSPGNE89C55H769H</v>
      </c>
      <c r="N74" s="7" t="s">
        <v>152</v>
      </c>
      <c r="O74" s="7" t="s">
        <v>55</v>
      </c>
      <c r="P74" s="8">
        <v>44642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7">
        <v>503.64</v>
      </c>
      <c r="W74" s="7">
        <v>217.17</v>
      </c>
      <c r="X74" s="7">
        <v>200.55</v>
      </c>
      <c r="Y74" s="7">
        <v>0</v>
      </c>
      <c r="Z74" s="7">
        <v>85.92</v>
      </c>
    </row>
    <row r="75" spans="1:26" x14ac:dyDescent="0.35">
      <c r="A75" s="7" t="s">
        <v>27</v>
      </c>
      <c r="B75" s="7" t="s">
        <v>41</v>
      </c>
      <c r="C75" s="7" t="s">
        <v>46</v>
      </c>
      <c r="D75" s="7" t="s">
        <v>47</v>
      </c>
      <c r="E75" s="7" t="s">
        <v>38</v>
      </c>
      <c r="F75" s="7" t="s">
        <v>153</v>
      </c>
      <c r="G75" s="7">
        <v>2021</v>
      </c>
      <c r="H75" s="7" t="str">
        <f>CONCATENATE("14240627738")</f>
        <v>14240627738</v>
      </c>
      <c r="I75" s="7" t="s">
        <v>30</v>
      </c>
      <c r="J75" s="7" t="s">
        <v>31</v>
      </c>
      <c r="K75" s="7" t="str">
        <f>CONCATENATE("")</f>
        <v/>
      </c>
      <c r="L75" s="7" t="str">
        <f>CONCATENATE("11 11.2 4b")</f>
        <v>11 11.2 4b</v>
      </c>
      <c r="M75" s="7" t="str">
        <f>CONCATENATE("MCHRLL62A43C877N")</f>
        <v>MCHRLL62A43C877N</v>
      </c>
      <c r="N75" s="7" t="s">
        <v>154</v>
      </c>
      <c r="O75" s="7" t="s">
        <v>55</v>
      </c>
      <c r="P75" s="8">
        <v>44642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21009.89</v>
      </c>
      <c r="W75" s="9">
        <v>9059.4599999999991</v>
      </c>
      <c r="X75" s="9">
        <v>8366.14</v>
      </c>
      <c r="Y75" s="7">
        <v>0</v>
      </c>
      <c r="Z75" s="9">
        <v>3584.29</v>
      </c>
    </row>
    <row r="76" spans="1:26" x14ac:dyDescent="0.35">
      <c r="A76" s="7" t="s">
        <v>27</v>
      </c>
      <c r="B76" s="7" t="s">
        <v>41</v>
      </c>
      <c r="C76" s="7" t="s">
        <v>46</v>
      </c>
      <c r="D76" s="7" t="s">
        <v>47</v>
      </c>
      <c r="E76" s="7" t="s">
        <v>38</v>
      </c>
      <c r="F76" s="7" t="s">
        <v>48</v>
      </c>
      <c r="G76" s="7">
        <v>2021</v>
      </c>
      <c r="H76" s="7" t="str">
        <f>CONCATENATE("14240036153")</f>
        <v>14240036153</v>
      </c>
      <c r="I76" s="7" t="s">
        <v>30</v>
      </c>
      <c r="J76" s="7" t="s">
        <v>31</v>
      </c>
      <c r="K76" s="7" t="str">
        <f>CONCATENATE("")</f>
        <v/>
      </c>
      <c r="L76" s="7" t="str">
        <f>CONCATENATE("11 11.2 4b")</f>
        <v>11 11.2 4b</v>
      </c>
      <c r="M76" s="7" t="str">
        <f>CONCATENATE("DNGGPP59H12D096C")</f>
        <v>DNGGPP59H12D096C</v>
      </c>
      <c r="N76" s="7" t="s">
        <v>155</v>
      </c>
      <c r="O76" s="7" t="s">
        <v>55</v>
      </c>
      <c r="P76" s="8">
        <v>44642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7">
        <v>292.44</v>
      </c>
      <c r="W76" s="7">
        <v>126.1</v>
      </c>
      <c r="X76" s="7">
        <v>116.45</v>
      </c>
      <c r="Y76" s="7">
        <v>0</v>
      </c>
      <c r="Z76" s="7">
        <v>49.89</v>
      </c>
    </row>
    <row r="77" spans="1:26" x14ac:dyDescent="0.35">
      <c r="A77" s="7" t="s">
        <v>27</v>
      </c>
      <c r="B77" s="7" t="s">
        <v>41</v>
      </c>
      <c r="C77" s="7" t="s">
        <v>46</v>
      </c>
      <c r="D77" s="7" t="s">
        <v>47</v>
      </c>
      <c r="E77" s="7" t="s">
        <v>29</v>
      </c>
      <c r="F77" s="7" t="s">
        <v>93</v>
      </c>
      <c r="G77" s="7">
        <v>2021</v>
      </c>
      <c r="H77" s="7" t="str">
        <f>CONCATENATE("14240084757")</f>
        <v>14240084757</v>
      </c>
      <c r="I77" s="7" t="s">
        <v>45</v>
      </c>
      <c r="J77" s="7" t="s">
        <v>31</v>
      </c>
      <c r="K77" s="7" t="str">
        <f>CONCATENATE("")</f>
        <v/>
      </c>
      <c r="L77" s="7" t="str">
        <f>CONCATENATE("11 11.1 4b")</f>
        <v>11 11.1 4b</v>
      </c>
      <c r="M77" s="7" t="str">
        <f>CONCATENATE("PRSNMR59A46H321I")</f>
        <v>PRSNMR59A46H321I</v>
      </c>
      <c r="N77" s="7" t="s">
        <v>156</v>
      </c>
      <c r="O77" s="7" t="s">
        <v>55</v>
      </c>
      <c r="P77" s="8">
        <v>44642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7">
        <v>227.13</v>
      </c>
      <c r="W77" s="7">
        <v>97.94</v>
      </c>
      <c r="X77" s="7">
        <v>90.44</v>
      </c>
      <c r="Y77" s="7">
        <v>0</v>
      </c>
      <c r="Z77" s="7">
        <v>38.75</v>
      </c>
    </row>
    <row r="78" spans="1:26" x14ac:dyDescent="0.35">
      <c r="A78" s="7" t="s">
        <v>27</v>
      </c>
      <c r="B78" s="7" t="s">
        <v>41</v>
      </c>
      <c r="C78" s="7" t="s">
        <v>46</v>
      </c>
      <c r="D78" s="7" t="s">
        <v>63</v>
      </c>
      <c r="E78" s="7" t="s">
        <v>38</v>
      </c>
      <c r="F78" s="7" t="s">
        <v>157</v>
      </c>
      <c r="G78" s="7">
        <v>2021</v>
      </c>
      <c r="H78" s="7" t="str">
        <f>CONCATENATE("14241163642")</f>
        <v>14241163642</v>
      </c>
      <c r="I78" s="7" t="s">
        <v>30</v>
      </c>
      <c r="J78" s="7" t="s">
        <v>31</v>
      </c>
      <c r="K78" s="7" t="str">
        <f>CONCATENATE("")</f>
        <v/>
      </c>
      <c r="L78" s="7" t="str">
        <f>CONCATENATE("14 14.1 3a")</f>
        <v>14 14.1 3a</v>
      </c>
      <c r="M78" s="7" t="str">
        <f>CONCATENATE("LSNCRN77E60A462V")</f>
        <v>LSNCRN77E60A462V</v>
      </c>
      <c r="N78" s="7" t="s">
        <v>158</v>
      </c>
      <c r="O78" s="7" t="s">
        <v>108</v>
      </c>
      <c r="P78" s="8">
        <v>44642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1890</v>
      </c>
      <c r="W78" s="7">
        <v>814.97</v>
      </c>
      <c r="X78" s="7">
        <v>752.6</v>
      </c>
      <c r="Y78" s="7">
        <v>0</v>
      </c>
      <c r="Z78" s="7">
        <v>322.43</v>
      </c>
    </row>
    <row r="79" spans="1:26" x14ac:dyDescent="0.35">
      <c r="A79" s="7" t="s">
        <v>27</v>
      </c>
      <c r="B79" s="7" t="s">
        <v>41</v>
      </c>
      <c r="C79" s="7" t="s">
        <v>46</v>
      </c>
      <c r="D79" s="7" t="s">
        <v>47</v>
      </c>
      <c r="E79" s="7" t="s">
        <v>38</v>
      </c>
      <c r="F79" s="7" t="s">
        <v>48</v>
      </c>
      <c r="G79" s="7">
        <v>2021</v>
      </c>
      <c r="H79" s="7" t="str">
        <f>CONCATENATE("14240851536")</f>
        <v>14240851536</v>
      </c>
      <c r="I79" s="7" t="s">
        <v>30</v>
      </c>
      <c r="J79" s="7" t="s">
        <v>31</v>
      </c>
      <c r="K79" s="7" t="str">
        <f>CONCATENATE("")</f>
        <v/>
      </c>
      <c r="L79" s="7" t="str">
        <f>CONCATENATE("11 11.1 4b")</f>
        <v>11 11.1 4b</v>
      </c>
      <c r="M79" s="7" t="str">
        <f>CONCATENATE("02269060444")</f>
        <v>02269060444</v>
      </c>
      <c r="N79" s="7" t="s">
        <v>159</v>
      </c>
      <c r="O79" s="7" t="s">
        <v>55</v>
      </c>
      <c r="P79" s="8">
        <v>44642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3215.19</v>
      </c>
      <c r="W79" s="9">
        <v>1386.39</v>
      </c>
      <c r="X79" s="9">
        <v>1280.29</v>
      </c>
      <c r="Y79" s="7">
        <v>0</v>
      </c>
      <c r="Z79" s="7">
        <v>548.51</v>
      </c>
    </row>
    <row r="80" spans="1:26" x14ac:dyDescent="0.35">
      <c r="A80" s="7" t="s">
        <v>27</v>
      </c>
      <c r="B80" s="7" t="s">
        <v>41</v>
      </c>
      <c r="C80" s="7" t="s">
        <v>46</v>
      </c>
      <c r="D80" s="7" t="s">
        <v>47</v>
      </c>
      <c r="E80" s="7" t="s">
        <v>36</v>
      </c>
      <c r="F80" s="7" t="s">
        <v>36</v>
      </c>
      <c r="G80" s="7">
        <v>2021</v>
      </c>
      <c r="H80" s="7" t="str">
        <f>CONCATENATE("14241250050")</f>
        <v>14241250050</v>
      </c>
      <c r="I80" s="7" t="s">
        <v>45</v>
      </c>
      <c r="J80" s="7" t="s">
        <v>31</v>
      </c>
      <c r="K80" s="7" t="str">
        <f>CONCATENATE("")</f>
        <v/>
      </c>
      <c r="L80" s="7" t="str">
        <f>CONCATENATE("11 11.2 4b")</f>
        <v>11 11.2 4b</v>
      </c>
      <c r="M80" s="7" t="str">
        <f>CONCATENATE("CSTMTT85M20H769W")</f>
        <v>CSTMTT85M20H769W</v>
      </c>
      <c r="N80" s="7" t="s">
        <v>160</v>
      </c>
      <c r="O80" s="7" t="s">
        <v>55</v>
      </c>
      <c r="P80" s="8">
        <v>44642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7">
        <v>362.81</v>
      </c>
      <c r="W80" s="7">
        <v>156.44</v>
      </c>
      <c r="X80" s="7">
        <v>144.47</v>
      </c>
      <c r="Y80" s="7">
        <v>0</v>
      </c>
      <c r="Z80" s="7">
        <v>61.9</v>
      </c>
    </row>
    <row r="81" spans="1:26" ht="17.5" x14ac:dyDescent="0.35">
      <c r="A81" s="7" t="s">
        <v>27</v>
      </c>
      <c r="B81" s="7" t="s">
        <v>41</v>
      </c>
      <c r="C81" s="7" t="s">
        <v>46</v>
      </c>
      <c r="D81" s="7" t="s">
        <v>47</v>
      </c>
      <c r="E81" s="7" t="s">
        <v>161</v>
      </c>
      <c r="F81" s="7" t="s">
        <v>162</v>
      </c>
      <c r="G81" s="7">
        <v>2021</v>
      </c>
      <c r="H81" s="7" t="str">
        <f>CONCATENATE("14241126995")</f>
        <v>14241126995</v>
      </c>
      <c r="I81" s="7" t="s">
        <v>45</v>
      </c>
      <c r="J81" s="7" t="s">
        <v>31</v>
      </c>
      <c r="K81" s="7" t="str">
        <f>CONCATENATE("")</f>
        <v/>
      </c>
      <c r="L81" s="7" t="str">
        <f>CONCATENATE("11 11.2 4b")</f>
        <v>11 11.2 4b</v>
      </c>
      <c r="M81" s="7" t="str">
        <f>CONCATENATE("02433600448")</f>
        <v>02433600448</v>
      </c>
      <c r="N81" s="7" t="s">
        <v>163</v>
      </c>
      <c r="O81" s="7" t="s">
        <v>55</v>
      </c>
      <c r="P81" s="8">
        <v>44642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7">
        <v>241.24</v>
      </c>
      <c r="W81" s="7">
        <v>104.02</v>
      </c>
      <c r="X81" s="7">
        <v>96.06</v>
      </c>
      <c r="Y81" s="7">
        <v>0</v>
      </c>
      <c r="Z81" s="7">
        <v>41.16</v>
      </c>
    </row>
    <row r="82" spans="1:26" x14ac:dyDescent="0.35">
      <c r="A82" s="7" t="s">
        <v>27</v>
      </c>
      <c r="B82" s="7" t="s">
        <v>41</v>
      </c>
      <c r="C82" s="7" t="s">
        <v>46</v>
      </c>
      <c r="D82" s="7" t="s">
        <v>57</v>
      </c>
      <c r="E82" s="7" t="s">
        <v>38</v>
      </c>
      <c r="F82" s="7" t="s">
        <v>105</v>
      </c>
      <c r="G82" s="7">
        <v>2021</v>
      </c>
      <c r="H82" s="7" t="str">
        <f>CONCATENATE("14240266768")</f>
        <v>14240266768</v>
      </c>
      <c r="I82" s="7" t="s">
        <v>30</v>
      </c>
      <c r="J82" s="7" t="s">
        <v>31</v>
      </c>
      <c r="K82" s="7" t="str">
        <f>CONCATENATE("")</f>
        <v/>
      </c>
      <c r="L82" s="7" t="str">
        <f>CONCATENATE("11 11.2 4b")</f>
        <v>11 11.2 4b</v>
      </c>
      <c r="M82" s="7" t="str">
        <f>CONCATENATE("RMTRNT57R26D749Y")</f>
        <v>RMTRNT57R26D749Y</v>
      </c>
      <c r="N82" s="7" t="s">
        <v>164</v>
      </c>
      <c r="O82" s="7" t="s">
        <v>55</v>
      </c>
      <c r="P82" s="8">
        <v>44642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7">
        <v>198.39</v>
      </c>
      <c r="W82" s="7">
        <v>85.55</v>
      </c>
      <c r="X82" s="7">
        <v>79</v>
      </c>
      <c r="Y82" s="7">
        <v>0</v>
      </c>
      <c r="Z82" s="7">
        <v>33.840000000000003</v>
      </c>
    </row>
    <row r="83" spans="1:26" x14ac:dyDescent="0.35">
      <c r="A83" s="7" t="s">
        <v>27</v>
      </c>
      <c r="B83" s="7" t="s">
        <v>41</v>
      </c>
      <c r="C83" s="7" t="s">
        <v>46</v>
      </c>
      <c r="D83" s="7" t="s">
        <v>65</v>
      </c>
      <c r="E83" s="7" t="s">
        <v>39</v>
      </c>
      <c r="F83" s="7" t="s">
        <v>75</v>
      </c>
      <c r="G83" s="7">
        <v>2021</v>
      </c>
      <c r="H83" s="7" t="str">
        <f>CONCATENATE("14240989849")</f>
        <v>14240989849</v>
      </c>
      <c r="I83" s="7" t="s">
        <v>30</v>
      </c>
      <c r="J83" s="7" t="s">
        <v>31</v>
      </c>
      <c r="K83" s="7" t="str">
        <f>CONCATENATE("")</f>
        <v/>
      </c>
      <c r="L83" s="7" t="str">
        <f>CONCATENATE("11 11.2 4b")</f>
        <v>11 11.2 4b</v>
      </c>
      <c r="M83" s="7" t="str">
        <f>CONCATENATE("MGNDNC60L09I461C")</f>
        <v>MGNDNC60L09I461C</v>
      </c>
      <c r="N83" s="7" t="s">
        <v>165</v>
      </c>
      <c r="O83" s="7" t="s">
        <v>55</v>
      </c>
      <c r="P83" s="8">
        <v>44642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17272.259999999998</v>
      </c>
      <c r="W83" s="9">
        <v>7447.8</v>
      </c>
      <c r="X83" s="9">
        <v>6877.81</v>
      </c>
      <c r="Y83" s="7">
        <v>0</v>
      </c>
      <c r="Z83" s="9">
        <v>2946.65</v>
      </c>
    </row>
    <row r="84" spans="1:26" x14ac:dyDescent="0.35">
      <c r="A84" s="7" t="s">
        <v>27</v>
      </c>
      <c r="B84" s="7" t="s">
        <v>41</v>
      </c>
      <c r="C84" s="7" t="s">
        <v>46</v>
      </c>
      <c r="D84" s="7" t="s">
        <v>57</v>
      </c>
      <c r="E84" s="7" t="s">
        <v>38</v>
      </c>
      <c r="F84" s="7" t="s">
        <v>166</v>
      </c>
      <c r="G84" s="7">
        <v>2021</v>
      </c>
      <c r="H84" s="7" t="str">
        <f>CONCATENATE("14241236091")</f>
        <v>14241236091</v>
      </c>
      <c r="I84" s="7" t="s">
        <v>30</v>
      </c>
      <c r="J84" s="7" t="s">
        <v>31</v>
      </c>
      <c r="K84" s="7" t="str">
        <f>CONCATENATE("")</f>
        <v/>
      </c>
      <c r="L84" s="7" t="str">
        <f>CONCATENATE("11 11.2 4b")</f>
        <v>11 11.2 4b</v>
      </c>
      <c r="M84" s="7" t="str">
        <f>CONCATENATE("CNCGST75M02B352T")</f>
        <v>CNCGST75M02B352T</v>
      </c>
      <c r="N84" s="7" t="s">
        <v>167</v>
      </c>
      <c r="O84" s="7" t="s">
        <v>55</v>
      </c>
      <c r="P84" s="8">
        <v>44642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8120.67</v>
      </c>
      <c r="W84" s="9">
        <v>3501.63</v>
      </c>
      <c r="X84" s="9">
        <v>3233.65</v>
      </c>
      <c r="Y84" s="7">
        <v>0</v>
      </c>
      <c r="Z84" s="9">
        <v>1385.39</v>
      </c>
    </row>
    <row r="85" spans="1:26" x14ac:dyDescent="0.35">
      <c r="A85" s="7" t="s">
        <v>27</v>
      </c>
      <c r="B85" s="7" t="s">
        <v>41</v>
      </c>
      <c r="C85" s="7" t="s">
        <v>46</v>
      </c>
      <c r="D85" s="7" t="s">
        <v>57</v>
      </c>
      <c r="E85" s="7" t="s">
        <v>42</v>
      </c>
      <c r="F85" s="7" t="s">
        <v>168</v>
      </c>
      <c r="G85" s="7">
        <v>2021</v>
      </c>
      <c r="H85" s="7" t="str">
        <f>CONCATENATE("14240288374")</f>
        <v>14240288374</v>
      </c>
      <c r="I85" s="7" t="s">
        <v>30</v>
      </c>
      <c r="J85" s="7" t="s">
        <v>31</v>
      </c>
      <c r="K85" s="7" t="str">
        <f>CONCATENATE("")</f>
        <v/>
      </c>
      <c r="L85" s="7" t="str">
        <f>CONCATENATE("11 11.1 4b")</f>
        <v>11 11.1 4b</v>
      </c>
      <c r="M85" s="7" t="str">
        <f>CONCATENATE("LZULRT79S16E785X")</f>
        <v>LZULRT79S16E785X</v>
      </c>
      <c r="N85" s="7" t="s">
        <v>169</v>
      </c>
      <c r="O85" s="7" t="s">
        <v>55</v>
      </c>
      <c r="P85" s="8">
        <v>44642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7">
        <v>442.24</v>
      </c>
      <c r="W85" s="7">
        <v>190.69</v>
      </c>
      <c r="X85" s="7">
        <v>176.1</v>
      </c>
      <c r="Y85" s="7">
        <v>0</v>
      </c>
      <c r="Z85" s="7">
        <v>75.45</v>
      </c>
    </row>
    <row r="86" spans="1:26" x14ac:dyDescent="0.35">
      <c r="A86" s="7" t="s">
        <v>27</v>
      </c>
      <c r="B86" s="7" t="s">
        <v>41</v>
      </c>
      <c r="C86" s="7" t="s">
        <v>46</v>
      </c>
      <c r="D86" s="7" t="s">
        <v>57</v>
      </c>
      <c r="E86" s="7" t="s">
        <v>39</v>
      </c>
      <c r="F86" s="7" t="s">
        <v>132</v>
      </c>
      <c r="G86" s="7">
        <v>2021</v>
      </c>
      <c r="H86" s="7" t="str">
        <f>CONCATENATE("14241053389")</f>
        <v>14241053389</v>
      </c>
      <c r="I86" s="7" t="s">
        <v>30</v>
      </c>
      <c r="J86" s="7" t="s">
        <v>31</v>
      </c>
      <c r="K86" s="7" t="str">
        <f>CONCATENATE("")</f>
        <v/>
      </c>
      <c r="L86" s="7" t="str">
        <f>CONCATENATE("11 11.2 4b")</f>
        <v>11 11.2 4b</v>
      </c>
      <c r="M86" s="7" t="str">
        <f>CONCATENATE("01057570416")</f>
        <v>01057570416</v>
      </c>
      <c r="N86" s="7" t="s">
        <v>170</v>
      </c>
      <c r="O86" s="7" t="s">
        <v>55</v>
      </c>
      <c r="P86" s="8">
        <v>44642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1010.68</v>
      </c>
      <c r="W86" s="7">
        <v>435.81</v>
      </c>
      <c r="X86" s="7">
        <v>402.45</v>
      </c>
      <c r="Y86" s="7">
        <v>0</v>
      </c>
      <c r="Z86" s="7">
        <v>172.42</v>
      </c>
    </row>
    <row r="87" spans="1:26" x14ac:dyDescent="0.35">
      <c r="A87" s="7" t="s">
        <v>27</v>
      </c>
      <c r="B87" s="7" t="s">
        <v>41</v>
      </c>
      <c r="C87" s="7" t="s">
        <v>46</v>
      </c>
      <c r="D87" s="7" t="s">
        <v>65</v>
      </c>
      <c r="E87" s="7" t="s">
        <v>39</v>
      </c>
      <c r="F87" s="7" t="s">
        <v>75</v>
      </c>
      <c r="G87" s="7">
        <v>2021</v>
      </c>
      <c r="H87" s="7" t="str">
        <f>CONCATENATE("14240442799")</f>
        <v>14240442799</v>
      </c>
      <c r="I87" s="7" t="s">
        <v>30</v>
      </c>
      <c r="J87" s="7" t="s">
        <v>31</v>
      </c>
      <c r="K87" s="7" t="str">
        <f>CONCATENATE("")</f>
        <v/>
      </c>
      <c r="L87" s="7" t="str">
        <f>CONCATENATE("11 11.2 4b")</f>
        <v>11 11.2 4b</v>
      </c>
      <c r="M87" s="7" t="str">
        <f>CONCATENATE("PCCDNL82T29D451P")</f>
        <v>PCCDNL82T29D451P</v>
      </c>
      <c r="N87" s="7" t="s">
        <v>171</v>
      </c>
      <c r="O87" s="7" t="s">
        <v>55</v>
      </c>
      <c r="P87" s="8">
        <v>44642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7">
        <v>58.53</v>
      </c>
      <c r="W87" s="7">
        <v>25.24</v>
      </c>
      <c r="X87" s="7">
        <v>23.31</v>
      </c>
      <c r="Y87" s="7">
        <v>0</v>
      </c>
      <c r="Z87" s="7">
        <v>9.98</v>
      </c>
    </row>
    <row r="88" spans="1:26" x14ac:dyDescent="0.35">
      <c r="A88" s="7" t="s">
        <v>27</v>
      </c>
      <c r="B88" s="7" t="s">
        <v>41</v>
      </c>
      <c r="C88" s="7" t="s">
        <v>46</v>
      </c>
      <c r="D88" s="7" t="s">
        <v>65</v>
      </c>
      <c r="E88" s="7" t="s">
        <v>39</v>
      </c>
      <c r="F88" s="7" t="s">
        <v>75</v>
      </c>
      <c r="G88" s="7">
        <v>2021</v>
      </c>
      <c r="H88" s="7" t="str">
        <f>CONCATENATE("14241150755")</f>
        <v>14241150755</v>
      </c>
      <c r="I88" s="7" t="s">
        <v>30</v>
      </c>
      <c r="J88" s="7" t="s">
        <v>31</v>
      </c>
      <c r="K88" s="7" t="str">
        <f>CONCATENATE("")</f>
        <v/>
      </c>
      <c r="L88" s="7" t="str">
        <f>CONCATENATE("11 11.2 4b")</f>
        <v>11 11.2 4b</v>
      </c>
      <c r="M88" s="7" t="str">
        <f>CONCATENATE("PCCDNL82T29D451P")</f>
        <v>PCCDNL82T29D451P</v>
      </c>
      <c r="N88" s="7" t="s">
        <v>171</v>
      </c>
      <c r="O88" s="7" t="s">
        <v>55</v>
      </c>
      <c r="P88" s="8">
        <v>44642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6652.84</v>
      </c>
      <c r="W88" s="9">
        <v>2868.7</v>
      </c>
      <c r="X88" s="9">
        <v>2649.16</v>
      </c>
      <c r="Y88" s="7">
        <v>0</v>
      </c>
      <c r="Z88" s="9">
        <v>1134.98</v>
      </c>
    </row>
    <row r="89" spans="1:26" x14ac:dyDescent="0.35">
      <c r="A89" s="7" t="s">
        <v>27</v>
      </c>
      <c r="B89" s="7" t="s">
        <v>41</v>
      </c>
      <c r="C89" s="7" t="s">
        <v>46</v>
      </c>
      <c r="D89" s="7" t="s">
        <v>65</v>
      </c>
      <c r="E89" s="7" t="s">
        <v>39</v>
      </c>
      <c r="F89" s="7" t="s">
        <v>75</v>
      </c>
      <c r="G89" s="7">
        <v>2021</v>
      </c>
      <c r="H89" s="7" t="str">
        <f>CONCATENATE("14240675018")</f>
        <v>14240675018</v>
      </c>
      <c r="I89" s="7" t="s">
        <v>30</v>
      </c>
      <c r="J89" s="7" t="s">
        <v>31</v>
      </c>
      <c r="K89" s="7" t="str">
        <f>CONCATENATE("")</f>
        <v/>
      </c>
      <c r="L89" s="7" t="str">
        <f>CONCATENATE("11 11.2 4b")</f>
        <v>11 11.2 4b</v>
      </c>
      <c r="M89" s="7" t="str">
        <f>CONCATENATE("CTNLND88H68Z129N")</f>
        <v>CTNLND88H68Z129N</v>
      </c>
      <c r="N89" s="7" t="s">
        <v>172</v>
      </c>
      <c r="O89" s="7" t="s">
        <v>55</v>
      </c>
      <c r="P89" s="8">
        <v>44642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1448.71</v>
      </c>
      <c r="W89" s="7">
        <v>624.67999999999995</v>
      </c>
      <c r="X89" s="7">
        <v>576.88</v>
      </c>
      <c r="Y89" s="7">
        <v>0</v>
      </c>
      <c r="Z89" s="7">
        <v>247.15</v>
      </c>
    </row>
    <row r="90" spans="1:26" x14ac:dyDescent="0.35">
      <c r="A90" s="7" t="s">
        <v>27</v>
      </c>
      <c r="B90" s="7" t="s">
        <v>41</v>
      </c>
      <c r="C90" s="7" t="s">
        <v>46</v>
      </c>
      <c r="D90" s="7" t="s">
        <v>65</v>
      </c>
      <c r="E90" s="7" t="s">
        <v>39</v>
      </c>
      <c r="F90" s="7" t="s">
        <v>75</v>
      </c>
      <c r="G90" s="7">
        <v>2021</v>
      </c>
      <c r="H90" s="7" t="str">
        <f>CONCATENATE("14240827098")</f>
        <v>14240827098</v>
      </c>
      <c r="I90" s="7" t="s">
        <v>30</v>
      </c>
      <c r="J90" s="7" t="s">
        <v>31</v>
      </c>
      <c r="K90" s="7" t="str">
        <f>CONCATENATE("")</f>
        <v/>
      </c>
      <c r="L90" s="7" t="str">
        <f>CONCATENATE("11 11.2 4b")</f>
        <v>11 11.2 4b</v>
      </c>
      <c r="M90" s="7" t="str">
        <f>CONCATENATE("CPRGUO73A29I461B")</f>
        <v>CPRGUO73A29I461B</v>
      </c>
      <c r="N90" s="7" t="s">
        <v>173</v>
      </c>
      <c r="O90" s="7" t="s">
        <v>55</v>
      </c>
      <c r="P90" s="8">
        <v>44642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1507.97</v>
      </c>
      <c r="W90" s="7">
        <v>650.24</v>
      </c>
      <c r="X90" s="7">
        <v>600.47</v>
      </c>
      <c r="Y90" s="7">
        <v>0</v>
      </c>
      <c r="Z90" s="7">
        <v>257.26</v>
      </c>
    </row>
    <row r="91" spans="1:26" x14ac:dyDescent="0.35">
      <c r="A91" s="7" t="s">
        <v>27</v>
      </c>
      <c r="B91" s="7" t="s">
        <v>41</v>
      </c>
      <c r="C91" s="7" t="s">
        <v>46</v>
      </c>
      <c r="D91" s="7" t="s">
        <v>63</v>
      </c>
      <c r="E91" s="7" t="s">
        <v>44</v>
      </c>
      <c r="F91" s="7" t="s">
        <v>134</v>
      </c>
      <c r="G91" s="7">
        <v>2021</v>
      </c>
      <c r="H91" s="7" t="str">
        <f>CONCATENATE("14241236331")</f>
        <v>14241236331</v>
      </c>
      <c r="I91" s="7" t="s">
        <v>30</v>
      </c>
      <c r="J91" s="7" t="s">
        <v>31</v>
      </c>
      <c r="K91" s="7" t="str">
        <f>CONCATENATE("")</f>
        <v/>
      </c>
      <c r="L91" s="7" t="str">
        <f>CONCATENATE("14 14.1 3a")</f>
        <v>14 14.1 3a</v>
      </c>
      <c r="M91" s="7" t="str">
        <f>CONCATENATE("MRCNGL76R58E388Q")</f>
        <v>MRCNGL76R58E388Q</v>
      </c>
      <c r="N91" s="7" t="s">
        <v>174</v>
      </c>
      <c r="O91" s="7" t="s">
        <v>108</v>
      </c>
      <c r="P91" s="8">
        <v>44642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7">
        <v>418.09</v>
      </c>
      <c r="W91" s="7">
        <v>180.28</v>
      </c>
      <c r="X91" s="7">
        <v>166.48</v>
      </c>
      <c r="Y91" s="7">
        <v>0</v>
      </c>
      <c r="Z91" s="7">
        <v>71.33</v>
      </c>
    </row>
    <row r="92" spans="1:26" x14ac:dyDescent="0.35">
      <c r="A92" s="7" t="s">
        <v>27</v>
      </c>
      <c r="B92" s="7" t="s">
        <v>41</v>
      </c>
      <c r="C92" s="7" t="s">
        <v>46</v>
      </c>
      <c r="D92" s="7" t="s">
        <v>65</v>
      </c>
      <c r="E92" s="7" t="s">
        <v>39</v>
      </c>
      <c r="F92" s="7" t="s">
        <v>75</v>
      </c>
      <c r="G92" s="7">
        <v>2021</v>
      </c>
      <c r="H92" s="7" t="str">
        <f>CONCATENATE("14240320276")</f>
        <v>14240320276</v>
      </c>
      <c r="I92" s="7" t="s">
        <v>30</v>
      </c>
      <c r="J92" s="7" t="s">
        <v>31</v>
      </c>
      <c r="K92" s="7" t="str">
        <f>CONCATENATE("")</f>
        <v/>
      </c>
      <c r="L92" s="7" t="str">
        <f>CONCATENATE("11 11.2 4b")</f>
        <v>11 11.2 4b</v>
      </c>
      <c r="M92" s="7" t="str">
        <f>CONCATENATE("CSRGRL58S63A366A")</f>
        <v>CSRGRL58S63A366A</v>
      </c>
      <c r="N92" s="7" t="s">
        <v>175</v>
      </c>
      <c r="O92" s="7" t="s">
        <v>55</v>
      </c>
      <c r="P92" s="8">
        <v>44642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7">
        <v>542.75</v>
      </c>
      <c r="W92" s="7">
        <v>234.03</v>
      </c>
      <c r="X92" s="7">
        <v>216.12</v>
      </c>
      <c r="Y92" s="7">
        <v>0</v>
      </c>
      <c r="Z92" s="7">
        <v>92.6</v>
      </c>
    </row>
    <row r="93" spans="1:26" x14ac:dyDescent="0.35">
      <c r="A93" s="7" t="s">
        <v>27</v>
      </c>
      <c r="B93" s="7" t="s">
        <v>41</v>
      </c>
      <c r="C93" s="7" t="s">
        <v>46</v>
      </c>
      <c r="D93" s="7" t="s">
        <v>47</v>
      </c>
      <c r="E93" s="7" t="s">
        <v>36</v>
      </c>
      <c r="F93" s="7" t="s">
        <v>36</v>
      </c>
      <c r="G93" s="7">
        <v>2021</v>
      </c>
      <c r="H93" s="7" t="str">
        <f>CONCATENATE("14240772385")</f>
        <v>14240772385</v>
      </c>
      <c r="I93" s="7" t="s">
        <v>30</v>
      </c>
      <c r="J93" s="7" t="s">
        <v>31</v>
      </c>
      <c r="K93" s="7" t="str">
        <f>CONCATENATE("")</f>
        <v/>
      </c>
      <c r="L93" s="7" t="str">
        <f>CONCATENATE("11 11.2 4b")</f>
        <v>11 11.2 4b</v>
      </c>
      <c r="M93" s="7" t="str">
        <f>CONCATENATE("01529730440")</f>
        <v>01529730440</v>
      </c>
      <c r="N93" s="7" t="s">
        <v>176</v>
      </c>
      <c r="O93" s="7" t="s">
        <v>55</v>
      </c>
      <c r="P93" s="8">
        <v>44642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454.68</v>
      </c>
      <c r="W93" s="7">
        <v>196.06</v>
      </c>
      <c r="X93" s="7">
        <v>181.05</v>
      </c>
      <c r="Y93" s="7">
        <v>0</v>
      </c>
      <c r="Z93" s="7">
        <v>77.569999999999993</v>
      </c>
    </row>
    <row r="94" spans="1:26" x14ac:dyDescent="0.35">
      <c r="A94" s="7" t="s">
        <v>27</v>
      </c>
      <c r="B94" s="7" t="s">
        <v>41</v>
      </c>
      <c r="C94" s="7" t="s">
        <v>46</v>
      </c>
      <c r="D94" s="7" t="s">
        <v>47</v>
      </c>
      <c r="E94" s="7" t="s">
        <v>36</v>
      </c>
      <c r="F94" s="7" t="s">
        <v>36</v>
      </c>
      <c r="G94" s="7">
        <v>2021</v>
      </c>
      <c r="H94" s="7" t="str">
        <f>CONCATENATE("14240773029")</f>
        <v>14240773029</v>
      </c>
      <c r="I94" s="7" t="s">
        <v>30</v>
      </c>
      <c r="J94" s="7" t="s">
        <v>31</v>
      </c>
      <c r="K94" s="7" t="str">
        <f>CONCATENATE("")</f>
        <v/>
      </c>
      <c r="L94" s="7" t="str">
        <f>CONCATENATE("11 11.1 4b")</f>
        <v>11 11.1 4b</v>
      </c>
      <c r="M94" s="7" t="str">
        <f>CONCATENATE("01529730440")</f>
        <v>01529730440</v>
      </c>
      <c r="N94" s="7" t="s">
        <v>176</v>
      </c>
      <c r="O94" s="7" t="s">
        <v>55</v>
      </c>
      <c r="P94" s="8">
        <v>44642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3629.84</v>
      </c>
      <c r="W94" s="9">
        <v>1565.19</v>
      </c>
      <c r="X94" s="9">
        <v>1445.4</v>
      </c>
      <c r="Y94" s="7">
        <v>0</v>
      </c>
      <c r="Z94" s="7">
        <v>619.25</v>
      </c>
    </row>
    <row r="95" spans="1:26" x14ac:dyDescent="0.35">
      <c r="A95" s="7" t="s">
        <v>27</v>
      </c>
      <c r="B95" s="7" t="s">
        <v>41</v>
      </c>
      <c r="C95" s="7" t="s">
        <v>46</v>
      </c>
      <c r="D95" s="7" t="s">
        <v>65</v>
      </c>
      <c r="E95" s="7" t="s">
        <v>39</v>
      </c>
      <c r="F95" s="7" t="s">
        <v>71</v>
      </c>
      <c r="G95" s="7">
        <v>2021</v>
      </c>
      <c r="H95" s="7" t="str">
        <f>CONCATENATE("14240352519")</f>
        <v>14240352519</v>
      </c>
      <c r="I95" s="7" t="s">
        <v>30</v>
      </c>
      <c r="J95" s="7" t="s">
        <v>31</v>
      </c>
      <c r="K95" s="7" t="str">
        <f>CONCATENATE("")</f>
        <v/>
      </c>
      <c r="L95" s="7" t="str">
        <f>CONCATENATE("11 11.2 4b")</f>
        <v>11 11.2 4b</v>
      </c>
      <c r="M95" s="7" t="str">
        <f>CONCATENATE("01546100429")</f>
        <v>01546100429</v>
      </c>
      <c r="N95" s="7" t="s">
        <v>177</v>
      </c>
      <c r="O95" s="7" t="s">
        <v>55</v>
      </c>
      <c r="P95" s="8">
        <v>44642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6366.77</v>
      </c>
      <c r="W95" s="9">
        <v>2745.35</v>
      </c>
      <c r="X95" s="9">
        <v>2535.25</v>
      </c>
      <c r="Y95" s="7">
        <v>0</v>
      </c>
      <c r="Z95" s="9">
        <v>1086.17</v>
      </c>
    </row>
    <row r="96" spans="1:26" x14ac:dyDescent="0.35">
      <c r="A96" s="7" t="s">
        <v>27</v>
      </c>
      <c r="B96" s="7" t="s">
        <v>41</v>
      </c>
      <c r="C96" s="7" t="s">
        <v>46</v>
      </c>
      <c r="D96" s="7" t="s">
        <v>57</v>
      </c>
      <c r="E96" s="7" t="s">
        <v>29</v>
      </c>
      <c r="F96" s="7" t="s">
        <v>83</v>
      </c>
      <c r="G96" s="7">
        <v>2021</v>
      </c>
      <c r="H96" s="7" t="str">
        <f>CONCATENATE("14241159822")</f>
        <v>14241159822</v>
      </c>
      <c r="I96" s="7" t="s">
        <v>30</v>
      </c>
      <c r="J96" s="7" t="s">
        <v>31</v>
      </c>
      <c r="K96" s="7" t="str">
        <f>CONCATENATE("")</f>
        <v/>
      </c>
      <c r="L96" s="7" t="str">
        <f>CONCATENATE("11 11.2 4b")</f>
        <v>11 11.2 4b</v>
      </c>
      <c r="M96" s="7" t="str">
        <f>CONCATENATE("CSTCMN35R22F205Q")</f>
        <v>CSTCMN35R22F205Q</v>
      </c>
      <c r="N96" s="7" t="s">
        <v>178</v>
      </c>
      <c r="O96" s="7" t="s">
        <v>55</v>
      </c>
      <c r="P96" s="8">
        <v>44642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4330.95</v>
      </c>
      <c r="W96" s="9">
        <v>1867.51</v>
      </c>
      <c r="X96" s="9">
        <v>1724.58</v>
      </c>
      <c r="Y96" s="7">
        <v>0</v>
      </c>
      <c r="Z96" s="7">
        <v>738.86</v>
      </c>
    </row>
    <row r="97" spans="1:26" x14ac:dyDescent="0.35">
      <c r="A97" s="7" t="s">
        <v>27</v>
      </c>
      <c r="B97" s="7" t="s">
        <v>41</v>
      </c>
      <c r="C97" s="7" t="s">
        <v>46</v>
      </c>
      <c r="D97" s="7" t="s">
        <v>57</v>
      </c>
      <c r="E97" s="7" t="s">
        <v>38</v>
      </c>
      <c r="F97" s="7" t="s">
        <v>110</v>
      </c>
      <c r="G97" s="7">
        <v>2021</v>
      </c>
      <c r="H97" s="7" t="str">
        <f>CONCATENATE("14241152975")</f>
        <v>14241152975</v>
      </c>
      <c r="I97" s="7" t="s">
        <v>45</v>
      </c>
      <c r="J97" s="7" t="s">
        <v>31</v>
      </c>
      <c r="K97" s="7" t="str">
        <f>CONCATENATE("")</f>
        <v/>
      </c>
      <c r="L97" s="7" t="str">
        <f>CONCATENATE("11 11.2 4b")</f>
        <v>11 11.2 4b</v>
      </c>
      <c r="M97" s="7" t="str">
        <f>CONCATENATE("RUIGPP70M07G147U")</f>
        <v>RUIGPP70M07G147U</v>
      </c>
      <c r="N97" s="7" t="s">
        <v>179</v>
      </c>
      <c r="O97" s="7" t="s">
        <v>55</v>
      </c>
      <c r="P97" s="8">
        <v>44642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7">
        <v>402.73</v>
      </c>
      <c r="W97" s="7">
        <v>173.66</v>
      </c>
      <c r="X97" s="7">
        <v>160.37</v>
      </c>
      <c r="Y97" s="7">
        <v>0</v>
      </c>
      <c r="Z97" s="7">
        <v>68.7</v>
      </c>
    </row>
    <row r="98" spans="1:26" x14ac:dyDescent="0.35">
      <c r="A98" s="7" t="s">
        <v>27</v>
      </c>
      <c r="B98" s="7" t="s">
        <v>28</v>
      </c>
      <c r="C98" s="7" t="s">
        <v>46</v>
      </c>
      <c r="D98" s="7" t="s">
        <v>46</v>
      </c>
      <c r="E98" s="7" t="s">
        <v>36</v>
      </c>
      <c r="F98" s="7" t="s">
        <v>36</v>
      </c>
      <c r="G98" s="7">
        <v>2017</v>
      </c>
      <c r="H98" s="7" t="str">
        <f>CONCATENATE("14270363667")</f>
        <v>14270363667</v>
      </c>
      <c r="I98" s="7" t="s">
        <v>30</v>
      </c>
      <c r="J98" s="7" t="s">
        <v>31</v>
      </c>
      <c r="K98" s="7" t="str">
        <f>CONCATENATE("")</f>
        <v/>
      </c>
      <c r="L98" s="7" t="str">
        <f>CONCATENATE("19 19.2 6b")</f>
        <v>19 19.2 6b</v>
      </c>
      <c r="M98" s="7" t="str">
        <f>CONCATENATE("00263210437")</f>
        <v>00263210437</v>
      </c>
      <c r="N98" s="7" t="s">
        <v>180</v>
      </c>
      <c r="O98" s="7" t="s">
        <v>181</v>
      </c>
      <c r="P98" s="8">
        <v>44642</v>
      </c>
      <c r="Q98" s="7" t="s">
        <v>32</v>
      </c>
      <c r="R98" s="7" t="s">
        <v>40</v>
      </c>
      <c r="S98" s="7" t="s">
        <v>34</v>
      </c>
      <c r="T98" s="7"/>
      <c r="U98" s="7" t="s">
        <v>35</v>
      </c>
      <c r="V98" s="9">
        <v>20000</v>
      </c>
      <c r="W98" s="9">
        <v>8624</v>
      </c>
      <c r="X98" s="9">
        <v>7964</v>
      </c>
      <c r="Y98" s="7">
        <v>0</v>
      </c>
      <c r="Z98" s="9">
        <v>3412</v>
      </c>
    </row>
    <row r="99" spans="1:26" x14ac:dyDescent="0.35">
      <c r="A99" s="7" t="s">
        <v>27</v>
      </c>
      <c r="B99" s="7" t="s">
        <v>41</v>
      </c>
      <c r="C99" s="7" t="s">
        <v>46</v>
      </c>
      <c r="D99" s="7" t="s">
        <v>57</v>
      </c>
      <c r="E99" s="7" t="s">
        <v>38</v>
      </c>
      <c r="F99" s="7" t="s">
        <v>105</v>
      </c>
      <c r="G99" s="7">
        <v>2021</v>
      </c>
      <c r="H99" s="7" t="str">
        <f>CONCATENATE("14241273896")</f>
        <v>14241273896</v>
      </c>
      <c r="I99" s="7" t="s">
        <v>30</v>
      </c>
      <c r="J99" s="7" t="s">
        <v>31</v>
      </c>
      <c r="K99" s="7" t="str">
        <f>CONCATENATE("")</f>
        <v/>
      </c>
      <c r="L99" s="7" t="str">
        <f>CONCATENATE("14 14.1 3a")</f>
        <v>14 14.1 3a</v>
      </c>
      <c r="M99" s="7" t="str">
        <f>CONCATENATE("02694150414")</f>
        <v>02694150414</v>
      </c>
      <c r="N99" s="7" t="s">
        <v>182</v>
      </c>
      <c r="O99" s="7" t="s">
        <v>138</v>
      </c>
      <c r="P99" s="8">
        <v>44642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9240</v>
      </c>
      <c r="W99" s="9">
        <v>3984.29</v>
      </c>
      <c r="X99" s="9">
        <v>3679.37</v>
      </c>
      <c r="Y99" s="7">
        <v>0</v>
      </c>
      <c r="Z99" s="9">
        <v>1576.34</v>
      </c>
    </row>
    <row r="100" spans="1:26" x14ac:dyDescent="0.35">
      <c r="A100" s="7" t="s">
        <v>27</v>
      </c>
      <c r="B100" s="7" t="s">
        <v>41</v>
      </c>
      <c r="C100" s="7" t="s">
        <v>46</v>
      </c>
      <c r="D100" s="7" t="s">
        <v>57</v>
      </c>
      <c r="E100" s="7" t="s">
        <v>38</v>
      </c>
      <c r="F100" s="7" t="s">
        <v>183</v>
      </c>
      <c r="G100" s="7">
        <v>2021</v>
      </c>
      <c r="H100" s="7" t="str">
        <f>CONCATENATE("14241151878")</f>
        <v>14241151878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CONCATENATE("14 14.1 3a")</f>
        <v>14 14.1 3a</v>
      </c>
      <c r="M100" s="7" t="str">
        <f>CONCATENATE("GRRMSM69C15F135K")</f>
        <v>GRRMSM69C15F135K</v>
      </c>
      <c r="N100" s="7" t="s">
        <v>184</v>
      </c>
      <c r="O100" s="7" t="s">
        <v>112</v>
      </c>
      <c r="P100" s="8">
        <v>44642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2052.1999999999998</v>
      </c>
      <c r="W100" s="7">
        <v>884.91</v>
      </c>
      <c r="X100" s="7">
        <v>817.19</v>
      </c>
      <c r="Y100" s="7">
        <v>0</v>
      </c>
      <c r="Z100" s="7">
        <v>350.1</v>
      </c>
    </row>
    <row r="101" spans="1:26" x14ac:dyDescent="0.35">
      <c r="A101" s="7" t="s">
        <v>27</v>
      </c>
      <c r="B101" s="7" t="s">
        <v>41</v>
      </c>
      <c r="C101" s="7" t="s">
        <v>46</v>
      </c>
      <c r="D101" s="7" t="s">
        <v>57</v>
      </c>
      <c r="E101" s="7" t="s">
        <v>39</v>
      </c>
      <c r="F101" s="7" t="s">
        <v>185</v>
      </c>
      <c r="G101" s="7">
        <v>2021</v>
      </c>
      <c r="H101" s="7" t="str">
        <f>CONCATENATE("14240431552")</f>
        <v>14240431552</v>
      </c>
      <c r="I101" s="7" t="s">
        <v>45</v>
      </c>
      <c r="J101" s="7" t="s">
        <v>31</v>
      </c>
      <c r="K101" s="7" t="str">
        <f>CONCATENATE("")</f>
        <v/>
      </c>
      <c r="L101" s="7" t="str">
        <f>CONCATENATE("14 14.1 3a")</f>
        <v>14 14.1 3a</v>
      </c>
      <c r="M101" s="7" t="str">
        <f>CONCATENATE("FNCFRZ69B07D749Z")</f>
        <v>FNCFRZ69B07D749Z</v>
      </c>
      <c r="N101" s="7" t="s">
        <v>186</v>
      </c>
      <c r="O101" s="7" t="s">
        <v>112</v>
      </c>
      <c r="P101" s="8">
        <v>44642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8600</v>
      </c>
      <c r="W101" s="9">
        <v>3708.32</v>
      </c>
      <c r="X101" s="9">
        <v>3424.52</v>
      </c>
      <c r="Y101" s="7">
        <v>0</v>
      </c>
      <c r="Z101" s="9">
        <v>1467.16</v>
      </c>
    </row>
    <row r="102" spans="1:26" x14ac:dyDescent="0.35">
      <c r="A102" s="7" t="s">
        <v>27</v>
      </c>
      <c r="B102" s="7" t="s">
        <v>41</v>
      </c>
      <c r="C102" s="7" t="s">
        <v>46</v>
      </c>
      <c r="D102" s="7" t="s">
        <v>57</v>
      </c>
      <c r="E102" s="7" t="s">
        <v>39</v>
      </c>
      <c r="F102" s="7" t="s">
        <v>187</v>
      </c>
      <c r="G102" s="7">
        <v>2021</v>
      </c>
      <c r="H102" s="7" t="str">
        <f>CONCATENATE("14241174565")</f>
        <v>14241174565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CONCATENATE("14 14.1 3a")</f>
        <v>14 14.1 3a</v>
      </c>
      <c r="M102" s="7" t="str">
        <f>CONCATENATE("PRCLNS83L06A783R")</f>
        <v>PRCLNS83L06A783R</v>
      </c>
      <c r="N102" s="7" t="s">
        <v>188</v>
      </c>
      <c r="O102" s="7" t="s">
        <v>112</v>
      </c>
      <c r="P102" s="8">
        <v>44642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4000</v>
      </c>
      <c r="W102" s="9">
        <v>1724.8</v>
      </c>
      <c r="X102" s="9">
        <v>1592.8</v>
      </c>
      <c r="Y102" s="7">
        <v>0</v>
      </c>
      <c r="Z102" s="7">
        <v>682.4</v>
      </c>
    </row>
    <row r="103" spans="1:26" x14ac:dyDescent="0.35">
      <c r="A103" s="7" t="s">
        <v>27</v>
      </c>
      <c r="B103" s="7" t="s">
        <v>41</v>
      </c>
      <c r="C103" s="7" t="s">
        <v>46</v>
      </c>
      <c r="D103" s="7" t="s">
        <v>65</v>
      </c>
      <c r="E103" s="7" t="s">
        <v>39</v>
      </c>
      <c r="F103" s="7" t="s">
        <v>75</v>
      </c>
      <c r="G103" s="7">
        <v>2021</v>
      </c>
      <c r="H103" s="7" t="str">
        <f>CONCATENATE("14210937125")</f>
        <v>14210937125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CONCATENATE("13 13.1 4a")</f>
        <v>13 13.1 4a</v>
      </c>
      <c r="M103" s="7" t="str">
        <f>CONCATENATE("NNCGCR37T24C524B")</f>
        <v>NNCGCR37T24C524B</v>
      </c>
      <c r="N103" s="7" t="s">
        <v>189</v>
      </c>
      <c r="O103" s="7" t="s">
        <v>190</v>
      </c>
      <c r="P103" s="8">
        <v>44642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1820.82</v>
      </c>
      <c r="W103" s="7">
        <v>785.14</v>
      </c>
      <c r="X103" s="7">
        <v>725.05</v>
      </c>
      <c r="Y103" s="7">
        <v>0</v>
      </c>
      <c r="Z103" s="7">
        <v>310.63</v>
      </c>
    </row>
    <row r="104" spans="1:26" x14ac:dyDescent="0.35">
      <c r="A104" s="7" t="s">
        <v>27</v>
      </c>
      <c r="B104" s="7" t="s">
        <v>41</v>
      </c>
      <c r="C104" s="7" t="s">
        <v>46</v>
      </c>
      <c r="D104" s="7" t="s">
        <v>57</v>
      </c>
      <c r="E104" s="7" t="s">
        <v>39</v>
      </c>
      <c r="F104" s="7" t="s">
        <v>102</v>
      </c>
      <c r="G104" s="7">
        <v>2021</v>
      </c>
      <c r="H104" s="7" t="str">
        <f>CONCATENATE("14210963881")</f>
        <v>14210963881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CONCATENATE("BNTRST50H14G479C")</f>
        <v>BNTRST50H14G479C</v>
      </c>
      <c r="N104" s="7" t="s">
        <v>191</v>
      </c>
      <c r="O104" s="7" t="s">
        <v>190</v>
      </c>
      <c r="P104" s="8">
        <v>44642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4425.0600000000004</v>
      </c>
      <c r="W104" s="9">
        <v>1908.09</v>
      </c>
      <c r="X104" s="9">
        <v>1762.06</v>
      </c>
      <c r="Y104" s="7">
        <v>0</v>
      </c>
      <c r="Z104" s="7">
        <v>754.91</v>
      </c>
    </row>
    <row r="105" spans="1:26" x14ac:dyDescent="0.35">
      <c r="A105" s="7" t="s">
        <v>27</v>
      </c>
      <c r="B105" s="7" t="s">
        <v>41</v>
      </c>
      <c r="C105" s="7" t="s">
        <v>46</v>
      </c>
      <c r="D105" s="7" t="s">
        <v>65</v>
      </c>
      <c r="E105" s="7" t="s">
        <v>39</v>
      </c>
      <c r="F105" s="7" t="s">
        <v>75</v>
      </c>
      <c r="G105" s="7">
        <v>2021</v>
      </c>
      <c r="H105" s="7" t="str">
        <f>CONCATENATE("14210267333")</f>
        <v>14210267333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CONCATENATE("CLDNLS83C09I608S")</f>
        <v>CLDNLS83C09I608S</v>
      </c>
      <c r="N105" s="7" t="s">
        <v>76</v>
      </c>
      <c r="O105" s="7" t="s">
        <v>190</v>
      </c>
      <c r="P105" s="8">
        <v>44642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7">
        <v>410.4</v>
      </c>
      <c r="W105" s="7">
        <v>176.96</v>
      </c>
      <c r="X105" s="7">
        <v>163.41999999999999</v>
      </c>
      <c r="Y105" s="7">
        <v>0</v>
      </c>
      <c r="Z105" s="7">
        <v>70.02</v>
      </c>
    </row>
    <row r="106" spans="1:26" x14ac:dyDescent="0.35">
      <c r="A106" s="7" t="s">
        <v>27</v>
      </c>
      <c r="B106" s="7" t="s">
        <v>41</v>
      </c>
      <c r="C106" s="7" t="s">
        <v>46</v>
      </c>
      <c r="D106" s="7" t="s">
        <v>57</v>
      </c>
      <c r="E106" s="7" t="s">
        <v>29</v>
      </c>
      <c r="F106" s="7" t="s">
        <v>83</v>
      </c>
      <c r="G106" s="7">
        <v>2021</v>
      </c>
      <c r="H106" s="7" t="str">
        <f>CONCATENATE("14211118352")</f>
        <v>14211118352</v>
      </c>
      <c r="I106" s="7" t="s">
        <v>45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CONCATENATE("02417480411")</f>
        <v>02417480411</v>
      </c>
      <c r="N106" s="7" t="s">
        <v>84</v>
      </c>
      <c r="O106" s="7" t="s">
        <v>190</v>
      </c>
      <c r="P106" s="8">
        <v>44642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9000</v>
      </c>
      <c r="W106" s="9">
        <v>3880.8</v>
      </c>
      <c r="X106" s="9">
        <v>3583.8</v>
      </c>
      <c r="Y106" s="7">
        <v>0</v>
      </c>
      <c r="Z106" s="9">
        <v>1535.4</v>
      </c>
    </row>
    <row r="107" spans="1:26" ht="17.5" x14ac:dyDescent="0.35">
      <c r="A107" s="7" t="s">
        <v>27</v>
      </c>
      <c r="B107" s="7" t="s">
        <v>41</v>
      </c>
      <c r="C107" s="7" t="s">
        <v>46</v>
      </c>
      <c r="D107" s="7" t="s">
        <v>65</v>
      </c>
      <c r="E107" s="7" t="s">
        <v>39</v>
      </c>
      <c r="F107" s="7" t="s">
        <v>71</v>
      </c>
      <c r="G107" s="7">
        <v>2021</v>
      </c>
      <c r="H107" s="7" t="str">
        <f>CONCATENATE("14210927274")</f>
        <v>14210927274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CONCATENATE("00949420426")</f>
        <v>00949420426</v>
      </c>
      <c r="N107" s="7" t="s">
        <v>192</v>
      </c>
      <c r="O107" s="7" t="s">
        <v>190</v>
      </c>
      <c r="P107" s="8">
        <v>44642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6375.34</v>
      </c>
      <c r="W107" s="9">
        <v>2749.05</v>
      </c>
      <c r="X107" s="9">
        <v>2538.66</v>
      </c>
      <c r="Y107" s="7">
        <v>0</v>
      </c>
      <c r="Z107" s="9">
        <v>1087.6300000000001</v>
      </c>
    </row>
    <row r="108" spans="1:26" x14ac:dyDescent="0.35">
      <c r="A108" s="7" t="s">
        <v>27</v>
      </c>
      <c r="B108" s="7" t="s">
        <v>41</v>
      </c>
      <c r="C108" s="7" t="s">
        <v>46</v>
      </c>
      <c r="D108" s="7" t="s">
        <v>65</v>
      </c>
      <c r="E108" s="7" t="s">
        <v>39</v>
      </c>
      <c r="F108" s="7" t="s">
        <v>75</v>
      </c>
      <c r="G108" s="7">
        <v>2021</v>
      </c>
      <c r="H108" s="7" t="str">
        <f>CONCATENATE("14210395639")</f>
        <v>14210395639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CONCATENATE("PCCDNL82T29D451P")</f>
        <v>PCCDNL82T29D451P</v>
      </c>
      <c r="N108" s="7" t="s">
        <v>171</v>
      </c>
      <c r="O108" s="7" t="s">
        <v>190</v>
      </c>
      <c r="P108" s="8">
        <v>44642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7">
        <v>962.12</v>
      </c>
      <c r="W108" s="7">
        <v>414.87</v>
      </c>
      <c r="X108" s="7">
        <v>383.12</v>
      </c>
      <c r="Y108" s="7">
        <v>0</v>
      </c>
      <c r="Z108" s="7">
        <v>164.13</v>
      </c>
    </row>
    <row r="109" spans="1:26" x14ac:dyDescent="0.35">
      <c r="A109" s="7" t="s">
        <v>27</v>
      </c>
      <c r="B109" s="7" t="s">
        <v>41</v>
      </c>
      <c r="C109" s="7" t="s">
        <v>46</v>
      </c>
      <c r="D109" s="7" t="s">
        <v>57</v>
      </c>
      <c r="E109" s="7" t="s">
        <v>44</v>
      </c>
      <c r="F109" s="7" t="s">
        <v>91</v>
      </c>
      <c r="G109" s="7">
        <v>2021</v>
      </c>
      <c r="H109" s="7" t="str">
        <f>CONCATENATE("14211157020")</f>
        <v>14211157020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CONCATENATE("PRRSNT44A12I287N")</f>
        <v>PRRSNT44A12I287N</v>
      </c>
      <c r="N109" s="7" t="s">
        <v>193</v>
      </c>
      <c r="O109" s="7" t="s">
        <v>190</v>
      </c>
      <c r="P109" s="8">
        <v>44642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1280.3599999999999</v>
      </c>
      <c r="W109" s="7">
        <v>552.09</v>
      </c>
      <c r="X109" s="7">
        <v>509.84</v>
      </c>
      <c r="Y109" s="7">
        <v>0</v>
      </c>
      <c r="Z109" s="7">
        <v>218.43</v>
      </c>
    </row>
    <row r="110" spans="1:26" x14ac:dyDescent="0.35">
      <c r="A110" s="7" t="s">
        <v>27</v>
      </c>
      <c r="B110" s="7" t="s">
        <v>41</v>
      </c>
      <c r="C110" s="7" t="s">
        <v>46</v>
      </c>
      <c r="D110" s="7" t="s">
        <v>65</v>
      </c>
      <c r="E110" s="7" t="s">
        <v>39</v>
      </c>
      <c r="F110" s="7" t="s">
        <v>96</v>
      </c>
      <c r="G110" s="7">
        <v>2021</v>
      </c>
      <c r="H110" s="7" t="str">
        <f>CONCATENATE("14210269859")</f>
        <v>14210269859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CONCATENATE("13 13.1 4a")</f>
        <v>13 13.1 4a</v>
      </c>
      <c r="M110" s="7" t="str">
        <f>CONCATENATE("TNGFNC38A45I461V")</f>
        <v>TNGFNC38A45I461V</v>
      </c>
      <c r="N110" s="7" t="s">
        <v>194</v>
      </c>
      <c r="O110" s="7" t="s">
        <v>190</v>
      </c>
      <c r="P110" s="8">
        <v>44642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3085.86</v>
      </c>
      <c r="W110" s="9">
        <v>1330.62</v>
      </c>
      <c r="X110" s="9">
        <v>1228.79</v>
      </c>
      <c r="Y110" s="7">
        <v>0</v>
      </c>
      <c r="Z110" s="7">
        <v>526.45000000000005</v>
      </c>
    </row>
    <row r="111" spans="1:26" x14ac:dyDescent="0.35">
      <c r="A111" s="7" t="s">
        <v>27</v>
      </c>
      <c r="B111" s="7" t="s">
        <v>41</v>
      </c>
      <c r="C111" s="7" t="s">
        <v>46</v>
      </c>
      <c r="D111" s="7" t="s">
        <v>57</v>
      </c>
      <c r="E111" s="7" t="s">
        <v>38</v>
      </c>
      <c r="F111" s="7" t="s">
        <v>110</v>
      </c>
      <c r="G111" s="7">
        <v>2021</v>
      </c>
      <c r="H111" s="7" t="str">
        <f>CONCATENATE("14210320280")</f>
        <v>14210320280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CONCATENATE("13 13.1 4a")</f>
        <v>13 13.1 4a</v>
      </c>
      <c r="M111" s="7" t="str">
        <f>CONCATENATE("PLZLSN55D12G453B")</f>
        <v>PLZLSN55D12G453B</v>
      </c>
      <c r="N111" s="7" t="s">
        <v>195</v>
      </c>
      <c r="O111" s="7" t="s">
        <v>190</v>
      </c>
      <c r="P111" s="8">
        <v>44642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7">
        <v>976.68</v>
      </c>
      <c r="W111" s="7">
        <v>421.14</v>
      </c>
      <c r="X111" s="7">
        <v>388.91</v>
      </c>
      <c r="Y111" s="7">
        <v>0</v>
      </c>
      <c r="Z111" s="7">
        <v>166.63</v>
      </c>
    </row>
    <row r="112" spans="1:26" x14ac:dyDescent="0.35">
      <c r="A112" s="7" t="s">
        <v>27</v>
      </c>
      <c r="B112" s="7" t="s">
        <v>41</v>
      </c>
      <c r="C112" s="7" t="s">
        <v>46</v>
      </c>
      <c r="D112" s="7" t="s">
        <v>65</v>
      </c>
      <c r="E112" s="7" t="s">
        <v>29</v>
      </c>
      <c r="F112" s="7" t="s">
        <v>66</v>
      </c>
      <c r="G112" s="7">
        <v>2021</v>
      </c>
      <c r="H112" s="7" t="str">
        <f>CONCATENATE("14241397216")</f>
        <v>14241397216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CONCATENATE("10 10.1 4a")</f>
        <v>10 10.1 4a</v>
      </c>
      <c r="M112" s="7" t="str">
        <f>CONCATENATE("01964550436")</f>
        <v>01964550436</v>
      </c>
      <c r="N112" s="7" t="s">
        <v>95</v>
      </c>
      <c r="O112" s="7" t="s">
        <v>196</v>
      </c>
      <c r="P112" s="8">
        <v>44642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7">
        <v>188.34</v>
      </c>
      <c r="W112" s="7">
        <v>81.209999999999994</v>
      </c>
      <c r="X112" s="7">
        <v>75</v>
      </c>
      <c r="Y112" s="7">
        <v>0</v>
      </c>
      <c r="Z112" s="7">
        <v>32.130000000000003</v>
      </c>
    </row>
    <row r="113" spans="1:26" x14ac:dyDescent="0.35">
      <c r="A113" s="7" t="s">
        <v>27</v>
      </c>
      <c r="B113" s="7" t="s">
        <v>41</v>
      </c>
      <c r="C113" s="7" t="s">
        <v>46</v>
      </c>
      <c r="D113" s="7" t="s">
        <v>57</v>
      </c>
      <c r="E113" s="7" t="s">
        <v>38</v>
      </c>
      <c r="F113" s="7" t="s">
        <v>166</v>
      </c>
      <c r="G113" s="7">
        <v>2021</v>
      </c>
      <c r="H113" s="7" t="str">
        <f>CONCATENATE("14211205902")</f>
        <v>14211205902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CONCATENATE("13 13.1 4a")</f>
        <v>13 13.1 4a</v>
      </c>
      <c r="M113" s="7" t="str">
        <f>CONCATENATE("PRFBLD57H28B352N")</f>
        <v>PRFBLD57H28B352N</v>
      </c>
      <c r="N113" s="7" t="s">
        <v>197</v>
      </c>
      <c r="O113" s="7" t="s">
        <v>190</v>
      </c>
      <c r="P113" s="8">
        <v>44642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7">
        <v>470.34</v>
      </c>
      <c r="W113" s="7">
        <v>202.81</v>
      </c>
      <c r="X113" s="7">
        <v>187.29</v>
      </c>
      <c r="Y113" s="7">
        <v>0</v>
      </c>
      <c r="Z113" s="7">
        <v>80.239999999999995</v>
      </c>
    </row>
    <row r="114" spans="1:26" x14ac:dyDescent="0.35">
      <c r="A114" s="7" t="s">
        <v>27</v>
      </c>
      <c r="B114" s="7" t="s">
        <v>41</v>
      </c>
      <c r="C114" s="7" t="s">
        <v>46</v>
      </c>
      <c r="D114" s="7" t="s">
        <v>57</v>
      </c>
      <c r="E114" s="7" t="s">
        <v>38</v>
      </c>
      <c r="F114" s="7" t="s">
        <v>166</v>
      </c>
      <c r="G114" s="7">
        <v>2021</v>
      </c>
      <c r="H114" s="7" t="str">
        <f>CONCATENATE("14211304432")</f>
        <v>14211304432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CONCATENATE("13 13.1 4a")</f>
        <v>13 13.1 4a</v>
      </c>
      <c r="M114" s="7" t="str">
        <f>CONCATENATE("02534490418")</f>
        <v>02534490418</v>
      </c>
      <c r="N114" s="7" t="s">
        <v>198</v>
      </c>
      <c r="O114" s="7" t="s">
        <v>190</v>
      </c>
      <c r="P114" s="8">
        <v>44642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2974.66</v>
      </c>
      <c r="W114" s="9">
        <v>1282.67</v>
      </c>
      <c r="X114" s="9">
        <v>1184.51</v>
      </c>
      <c r="Y114" s="7">
        <v>0</v>
      </c>
      <c r="Z114" s="7">
        <v>507.48</v>
      </c>
    </row>
    <row r="115" spans="1:26" x14ac:dyDescent="0.35">
      <c r="A115" s="7" t="s">
        <v>27</v>
      </c>
      <c r="B115" s="7" t="s">
        <v>41</v>
      </c>
      <c r="C115" s="7" t="s">
        <v>46</v>
      </c>
      <c r="D115" s="7" t="s">
        <v>57</v>
      </c>
      <c r="E115" s="7" t="s">
        <v>44</v>
      </c>
      <c r="F115" s="7" t="s">
        <v>91</v>
      </c>
      <c r="G115" s="7">
        <v>2021</v>
      </c>
      <c r="H115" s="7" t="str">
        <f>CONCATENATE("14211270120")</f>
        <v>14211270120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CONCATENATE("13 13.1 4a")</f>
        <v>13 13.1 4a</v>
      </c>
      <c r="M115" s="7" t="str">
        <f>CONCATENATE("RBNRLB57B58G627F")</f>
        <v>RBNRLB57B58G627F</v>
      </c>
      <c r="N115" s="7" t="s">
        <v>199</v>
      </c>
      <c r="O115" s="7" t="s">
        <v>190</v>
      </c>
      <c r="P115" s="8">
        <v>44642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5708.19</v>
      </c>
      <c r="W115" s="9">
        <v>2461.37</v>
      </c>
      <c r="X115" s="9">
        <v>2273</v>
      </c>
      <c r="Y115" s="7">
        <v>0</v>
      </c>
      <c r="Z115" s="7">
        <v>973.82</v>
      </c>
    </row>
    <row r="116" spans="1:26" x14ac:dyDescent="0.35">
      <c r="A116" s="7" t="s">
        <v>27</v>
      </c>
      <c r="B116" s="7" t="s">
        <v>41</v>
      </c>
      <c r="C116" s="7" t="s">
        <v>46</v>
      </c>
      <c r="D116" s="7" t="s">
        <v>57</v>
      </c>
      <c r="E116" s="7" t="s">
        <v>38</v>
      </c>
      <c r="F116" s="7" t="s">
        <v>166</v>
      </c>
      <c r="G116" s="7">
        <v>2021</v>
      </c>
      <c r="H116" s="7" t="str">
        <f>CONCATENATE("14210157054")</f>
        <v>14210157054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CONCATENATE("13 13.1 4a")</f>
        <v>13 13.1 4a</v>
      </c>
      <c r="M116" s="7" t="str">
        <f>CONCATENATE("VGLTMR76T62D749L")</f>
        <v>VGLTMR76T62D749L</v>
      </c>
      <c r="N116" s="7" t="s">
        <v>200</v>
      </c>
      <c r="O116" s="7" t="s">
        <v>190</v>
      </c>
      <c r="P116" s="8">
        <v>44642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7">
        <v>332.68</v>
      </c>
      <c r="W116" s="7">
        <v>143.44999999999999</v>
      </c>
      <c r="X116" s="7">
        <v>132.47</v>
      </c>
      <c r="Y116" s="7">
        <v>0</v>
      </c>
      <c r="Z116" s="7">
        <v>56.76</v>
      </c>
    </row>
    <row r="117" spans="1:26" x14ac:dyDescent="0.35">
      <c r="A117" s="7" t="s">
        <v>27</v>
      </c>
      <c r="B117" s="7" t="s">
        <v>41</v>
      </c>
      <c r="C117" s="7" t="s">
        <v>46</v>
      </c>
      <c r="D117" s="7" t="s">
        <v>57</v>
      </c>
      <c r="E117" s="7" t="s">
        <v>38</v>
      </c>
      <c r="F117" s="7" t="s">
        <v>166</v>
      </c>
      <c r="G117" s="7">
        <v>2021</v>
      </c>
      <c r="H117" s="7" t="str">
        <f>CONCATENATE("14210931516")</f>
        <v>14210931516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CONCATENATE("13 13.1 4a")</f>
        <v>13 13.1 4a</v>
      </c>
      <c r="M117" s="7" t="str">
        <f>CONCATENATE("01407050416")</f>
        <v>01407050416</v>
      </c>
      <c r="N117" s="7" t="s">
        <v>201</v>
      </c>
      <c r="O117" s="7" t="s">
        <v>190</v>
      </c>
      <c r="P117" s="8">
        <v>44642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7">
        <v>675.12</v>
      </c>
      <c r="W117" s="7">
        <v>291.11</v>
      </c>
      <c r="X117" s="7">
        <v>268.83</v>
      </c>
      <c r="Y117" s="7">
        <v>0</v>
      </c>
      <c r="Z117" s="7">
        <v>115.18</v>
      </c>
    </row>
    <row r="118" spans="1:26" x14ac:dyDescent="0.35">
      <c r="A118" s="7" t="s">
        <v>27</v>
      </c>
      <c r="B118" s="7" t="s">
        <v>41</v>
      </c>
      <c r="C118" s="7" t="s">
        <v>46</v>
      </c>
      <c r="D118" s="7" t="s">
        <v>57</v>
      </c>
      <c r="E118" s="7" t="s">
        <v>38</v>
      </c>
      <c r="F118" s="7" t="s">
        <v>166</v>
      </c>
      <c r="G118" s="7">
        <v>2021</v>
      </c>
      <c r="H118" s="7" t="str">
        <f>CONCATENATE("14210637634")</f>
        <v>14210637634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CONCATENATE("13 13.1 4a")</f>
        <v>13 13.1 4a</v>
      </c>
      <c r="M118" s="7" t="str">
        <f>CONCATENATE("BRCPNG56R25A327B")</f>
        <v>BRCPNG56R25A327B</v>
      </c>
      <c r="N118" s="7" t="s">
        <v>202</v>
      </c>
      <c r="O118" s="7" t="s">
        <v>190</v>
      </c>
      <c r="P118" s="8">
        <v>44642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4938.71</v>
      </c>
      <c r="W118" s="9">
        <v>2129.5700000000002</v>
      </c>
      <c r="X118" s="9">
        <v>1966.59</v>
      </c>
      <c r="Y118" s="7">
        <v>0</v>
      </c>
      <c r="Z118" s="7">
        <v>842.55</v>
      </c>
    </row>
    <row r="119" spans="1:26" x14ac:dyDescent="0.35">
      <c r="A119" s="7" t="s">
        <v>27</v>
      </c>
      <c r="B119" s="7" t="s">
        <v>41</v>
      </c>
      <c r="C119" s="7" t="s">
        <v>46</v>
      </c>
      <c r="D119" s="7" t="s">
        <v>65</v>
      </c>
      <c r="E119" s="7" t="s">
        <v>44</v>
      </c>
      <c r="F119" s="7" t="s">
        <v>134</v>
      </c>
      <c r="G119" s="7">
        <v>2021</v>
      </c>
      <c r="H119" s="7" t="str">
        <f>CONCATENATE("14210239951")</f>
        <v>14210239951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CONCATENATE("13 13.1 4a")</f>
        <v>13 13.1 4a</v>
      </c>
      <c r="M119" s="7" t="str">
        <f>CONCATENATE("PRSSRA78A13I653X")</f>
        <v>PRSSRA78A13I653X</v>
      </c>
      <c r="N119" s="7" t="s">
        <v>203</v>
      </c>
      <c r="O119" s="7" t="s">
        <v>190</v>
      </c>
      <c r="P119" s="8">
        <v>44642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1518.97</v>
      </c>
      <c r="W119" s="7">
        <v>654.98</v>
      </c>
      <c r="X119" s="7">
        <v>604.85</v>
      </c>
      <c r="Y119" s="7">
        <v>0</v>
      </c>
      <c r="Z119" s="7">
        <v>259.14</v>
      </c>
    </row>
    <row r="120" spans="1:26" x14ac:dyDescent="0.35">
      <c r="A120" s="7" t="s">
        <v>27</v>
      </c>
      <c r="B120" s="7" t="s">
        <v>41</v>
      </c>
      <c r="C120" s="7" t="s">
        <v>46</v>
      </c>
      <c r="D120" s="7" t="s">
        <v>57</v>
      </c>
      <c r="E120" s="7" t="s">
        <v>39</v>
      </c>
      <c r="F120" s="7" t="s">
        <v>102</v>
      </c>
      <c r="G120" s="7">
        <v>2021</v>
      </c>
      <c r="H120" s="7" t="str">
        <f>CONCATENATE("14210945219")</f>
        <v>14210945219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CONCATENATE("13 13.1 4a")</f>
        <v>13 13.1 4a</v>
      </c>
      <c r="M120" s="7" t="str">
        <f>CONCATENATE("01387140419")</f>
        <v>01387140419</v>
      </c>
      <c r="N120" s="7" t="s">
        <v>204</v>
      </c>
      <c r="O120" s="7" t="s">
        <v>190</v>
      </c>
      <c r="P120" s="8">
        <v>44642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5908.5</v>
      </c>
      <c r="W120" s="9">
        <v>2547.75</v>
      </c>
      <c r="X120" s="9">
        <v>2352.7600000000002</v>
      </c>
      <c r="Y120" s="7">
        <v>0</v>
      </c>
      <c r="Z120" s="9">
        <v>1007.99</v>
      </c>
    </row>
    <row r="121" spans="1:26" x14ac:dyDescent="0.35">
      <c r="A121" s="7" t="s">
        <v>27</v>
      </c>
      <c r="B121" s="7" t="s">
        <v>41</v>
      </c>
      <c r="C121" s="7" t="s">
        <v>46</v>
      </c>
      <c r="D121" s="7" t="s">
        <v>65</v>
      </c>
      <c r="E121" s="7" t="s">
        <v>39</v>
      </c>
      <c r="F121" s="7" t="s">
        <v>75</v>
      </c>
      <c r="G121" s="7">
        <v>2021</v>
      </c>
      <c r="H121" s="7" t="str">
        <f>CONCATENATE("14210467727")</f>
        <v>14210467727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CONCATENATE("13 13.1 4a")</f>
        <v>13 13.1 4a</v>
      </c>
      <c r="M121" s="7" t="str">
        <f>CONCATENATE("13698851006")</f>
        <v>13698851006</v>
      </c>
      <c r="N121" s="7" t="s">
        <v>205</v>
      </c>
      <c r="O121" s="7" t="s">
        <v>190</v>
      </c>
      <c r="P121" s="8">
        <v>44642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2046.68</v>
      </c>
      <c r="W121" s="7">
        <v>882.53</v>
      </c>
      <c r="X121" s="7">
        <v>814.99</v>
      </c>
      <c r="Y121" s="7">
        <v>0</v>
      </c>
      <c r="Z121" s="7">
        <v>349.16</v>
      </c>
    </row>
    <row r="122" spans="1:26" x14ac:dyDescent="0.35">
      <c r="A122" s="7" t="s">
        <v>27</v>
      </c>
      <c r="B122" s="7" t="s">
        <v>41</v>
      </c>
      <c r="C122" s="7" t="s">
        <v>46</v>
      </c>
      <c r="D122" s="7" t="s">
        <v>57</v>
      </c>
      <c r="E122" s="7" t="s">
        <v>38</v>
      </c>
      <c r="F122" s="7" t="s">
        <v>166</v>
      </c>
      <c r="G122" s="7">
        <v>2021</v>
      </c>
      <c r="H122" s="7" t="str">
        <f>CONCATENATE("14210603396")</f>
        <v>14210603396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CONCATENATE("13 13.1 4a")</f>
        <v>13 13.1 4a</v>
      </c>
      <c r="M122" s="7" t="str">
        <f>CONCATENATE("FLVFNC72S09B352B")</f>
        <v>FLVFNC72S09B352B</v>
      </c>
      <c r="N122" s="7" t="s">
        <v>206</v>
      </c>
      <c r="O122" s="7" t="s">
        <v>190</v>
      </c>
      <c r="P122" s="8">
        <v>44642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2096.0300000000002</v>
      </c>
      <c r="W122" s="7">
        <v>903.81</v>
      </c>
      <c r="X122" s="7">
        <v>834.64</v>
      </c>
      <c r="Y122" s="7">
        <v>0</v>
      </c>
      <c r="Z122" s="7">
        <v>357.58</v>
      </c>
    </row>
    <row r="123" spans="1:26" x14ac:dyDescent="0.35">
      <c r="A123" s="7" t="s">
        <v>27</v>
      </c>
      <c r="B123" s="7" t="s">
        <v>41</v>
      </c>
      <c r="C123" s="7" t="s">
        <v>46</v>
      </c>
      <c r="D123" s="7" t="s">
        <v>57</v>
      </c>
      <c r="E123" s="7" t="s">
        <v>38</v>
      </c>
      <c r="F123" s="7" t="s">
        <v>166</v>
      </c>
      <c r="G123" s="7">
        <v>2021</v>
      </c>
      <c r="H123" s="7" t="str">
        <f>CONCATENATE("14211085478")</f>
        <v>14211085478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CONCATENATE("13 13.1 4a")</f>
        <v>13 13.1 4a</v>
      </c>
      <c r="M123" s="7" t="str">
        <f>CONCATENATE("PLCVDO50P30B352V")</f>
        <v>PLCVDO50P30B352V</v>
      </c>
      <c r="N123" s="7" t="s">
        <v>207</v>
      </c>
      <c r="O123" s="7" t="s">
        <v>190</v>
      </c>
      <c r="P123" s="8">
        <v>44642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7">
        <v>551.52</v>
      </c>
      <c r="W123" s="7">
        <v>237.82</v>
      </c>
      <c r="X123" s="7">
        <v>219.62</v>
      </c>
      <c r="Y123" s="7">
        <v>0</v>
      </c>
      <c r="Z123" s="7">
        <v>94.08</v>
      </c>
    </row>
    <row r="124" spans="1:26" x14ac:dyDescent="0.35">
      <c r="A124" s="7" t="s">
        <v>27</v>
      </c>
      <c r="B124" s="7" t="s">
        <v>41</v>
      </c>
      <c r="C124" s="7" t="s">
        <v>46</v>
      </c>
      <c r="D124" s="7" t="s">
        <v>57</v>
      </c>
      <c r="E124" s="7" t="s">
        <v>38</v>
      </c>
      <c r="F124" s="7" t="s">
        <v>166</v>
      </c>
      <c r="G124" s="7">
        <v>2021</v>
      </c>
      <c r="H124" s="7" t="str">
        <f>CONCATENATE("14210101904")</f>
        <v>14210101904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CONCATENATE("13 13.1 4a")</f>
        <v>13 13.1 4a</v>
      </c>
      <c r="M124" s="7" t="str">
        <f>CONCATENATE("CLMMPS49C50G044M")</f>
        <v>CLMMPS49C50G044M</v>
      </c>
      <c r="N124" s="7" t="s">
        <v>208</v>
      </c>
      <c r="O124" s="7" t="s">
        <v>190</v>
      </c>
      <c r="P124" s="8">
        <v>44642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6253.17</v>
      </c>
      <c r="W124" s="9">
        <v>2696.37</v>
      </c>
      <c r="X124" s="9">
        <v>2490.0100000000002</v>
      </c>
      <c r="Y124" s="7">
        <v>0</v>
      </c>
      <c r="Z124" s="9">
        <v>1066.79</v>
      </c>
    </row>
    <row r="125" spans="1:26" x14ac:dyDescent="0.35">
      <c r="A125" s="7" t="s">
        <v>27</v>
      </c>
      <c r="B125" s="7" t="s">
        <v>41</v>
      </c>
      <c r="C125" s="7" t="s">
        <v>46</v>
      </c>
      <c r="D125" s="7" t="s">
        <v>57</v>
      </c>
      <c r="E125" s="7" t="s">
        <v>39</v>
      </c>
      <c r="F125" s="7" t="s">
        <v>102</v>
      </c>
      <c r="G125" s="7">
        <v>2021</v>
      </c>
      <c r="H125" s="7" t="str">
        <f>CONCATENATE("14210924248")</f>
        <v>14210924248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CONCATENATE("13 13.1 4a")</f>
        <v>13 13.1 4a</v>
      </c>
      <c r="M125" s="7" t="str">
        <f>CONCATENATE("MNTMRC72R25G453G")</f>
        <v>MNTMRC72R25G453G</v>
      </c>
      <c r="N125" s="7" t="s">
        <v>209</v>
      </c>
      <c r="O125" s="7" t="s">
        <v>190</v>
      </c>
      <c r="P125" s="8">
        <v>44642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372.74</v>
      </c>
      <c r="W125" s="7">
        <v>160.72999999999999</v>
      </c>
      <c r="X125" s="7">
        <v>148.43</v>
      </c>
      <c r="Y125" s="7">
        <v>0</v>
      </c>
      <c r="Z125" s="7">
        <v>63.58</v>
      </c>
    </row>
    <row r="126" spans="1:26" x14ac:dyDescent="0.35">
      <c r="A126" s="7" t="s">
        <v>27</v>
      </c>
      <c r="B126" s="7" t="s">
        <v>41</v>
      </c>
      <c r="C126" s="7" t="s">
        <v>46</v>
      </c>
      <c r="D126" s="7" t="s">
        <v>65</v>
      </c>
      <c r="E126" s="7" t="s">
        <v>39</v>
      </c>
      <c r="F126" s="7" t="s">
        <v>96</v>
      </c>
      <c r="G126" s="7">
        <v>2021</v>
      </c>
      <c r="H126" s="7" t="str">
        <f>CONCATENATE("14241031005")</f>
        <v>14241031005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CONCATENATE("10 10.1 4a")</f>
        <v>10 10.1 4a</v>
      </c>
      <c r="M126" s="7" t="str">
        <f>CONCATENATE("FTTPLA53A70A271Y")</f>
        <v>FTTPLA53A70A271Y</v>
      </c>
      <c r="N126" s="7" t="s">
        <v>210</v>
      </c>
      <c r="O126" s="7" t="s">
        <v>196</v>
      </c>
      <c r="P126" s="8">
        <v>44642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1306.2</v>
      </c>
      <c r="W126" s="7">
        <v>563.23</v>
      </c>
      <c r="X126" s="7">
        <v>520.13</v>
      </c>
      <c r="Y126" s="7">
        <v>0</v>
      </c>
      <c r="Z126" s="7">
        <v>222.84</v>
      </c>
    </row>
    <row r="127" spans="1:26" x14ac:dyDescent="0.35">
      <c r="A127" s="7" t="s">
        <v>27</v>
      </c>
      <c r="B127" s="7" t="s">
        <v>41</v>
      </c>
      <c r="C127" s="7" t="s">
        <v>46</v>
      </c>
      <c r="D127" s="7" t="s">
        <v>65</v>
      </c>
      <c r="E127" s="7" t="s">
        <v>44</v>
      </c>
      <c r="F127" s="7" t="s">
        <v>211</v>
      </c>
      <c r="G127" s="7">
        <v>2021</v>
      </c>
      <c r="H127" s="7" t="str">
        <f>CONCATENATE("14241195032")</f>
        <v>14241195032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CONCATENATE("10 10.1 4a")</f>
        <v>10 10.1 4a</v>
      </c>
      <c r="M127" s="7" t="str">
        <f>CONCATENATE("GNNGRG89D13A271T")</f>
        <v>GNNGRG89D13A271T</v>
      </c>
      <c r="N127" s="7" t="s">
        <v>212</v>
      </c>
      <c r="O127" s="7" t="s">
        <v>196</v>
      </c>
      <c r="P127" s="8">
        <v>44642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7">
        <v>477.28</v>
      </c>
      <c r="W127" s="7">
        <v>205.8</v>
      </c>
      <c r="X127" s="7">
        <v>190.05</v>
      </c>
      <c r="Y127" s="7">
        <v>0</v>
      </c>
      <c r="Z127" s="7">
        <v>81.430000000000007</v>
      </c>
    </row>
    <row r="128" spans="1:26" x14ac:dyDescent="0.35">
      <c r="A128" s="7" t="s">
        <v>27</v>
      </c>
      <c r="B128" s="7" t="s">
        <v>41</v>
      </c>
      <c r="C128" s="7" t="s">
        <v>46</v>
      </c>
      <c r="D128" s="7" t="s">
        <v>65</v>
      </c>
      <c r="E128" s="7" t="s">
        <v>39</v>
      </c>
      <c r="F128" s="7" t="s">
        <v>96</v>
      </c>
      <c r="G128" s="7">
        <v>2021</v>
      </c>
      <c r="H128" s="7" t="str">
        <f>CONCATENATE("14240509837")</f>
        <v>14240509837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CONCATENATE("10 10.1 4a")</f>
        <v>10 10.1 4a</v>
      </c>
      <c r="M128" s="7" t="str">
        <f>CONCATENATE("02745870424")</f>
        <v>02745870424</v>
      </c>
      <c r="N128" s="7" t="s">
        <v>213</v>
      </c>
      <c r="O128" s="7" t="s">
        <v>196</v>
      </c>
      <c r="P128" s="8">
        <v>44642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7">
        <v>117.87</v>
      </c>
      <c r="W128" s="7">
        <v>50.83</v>
      </c>
      <c r="X128" s="7">
        <v>46.94</v>
      </c>
      <c r="Y128" s="7">
        <v>0</v>
      </c>
      <c r="Z128" s="7">
        <v>20.100000000000001</v>
      </c>
    </row>
    <row r="129" spans="1:26" ht="17.5" x14ac:dyDescent="0.35">
      <c r="A129" s="7" t="s">
        <v>27</v>
      </c>
      <c r="B129" s="7" t="s">
        <v>41</v>
      </c>
      <c r="C129" s="7" t="s">
        <v>46</v>
      </c>
      <c r="D129" s="7" t="s">
        <v>65</v>
      </c>
      <c r="E129" s="7" t="s">
        <v>39</v>
      </c>
      <c r="F129" s="7" t="s">
        <v>96</v>
      </c>
      <c r="G129" s="7">
        <v>2021</v>
      </c>
      <c r="H129" s="7" t="str">
        <f>CONCATENATE("14240988064")</f>
        <v>14240988064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CONCATENATE("10 10.1 4a")</f>
        <v>10 10.1 4a</v>
      </c>
      <c r="M129" s="7" t="str">
        <f>CONCATENATE("02707530420")</f>
        <v>02707530420</v>
      </c>
      <c r="N129" s="7" t="s">
        <v>214</v>
      </c>
      <c r="O129" s="7" t="s">
        <v>196</v>
      </c>
      <c r="P129" s="8">
        <v>44642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7">
        <v>101.45</v>
      </c>
      <c r="W129" s="7">
        <v>43.75</v>
      </c>
      <c r="X129" s="7">
        <v>40.4</v>
      </c>
      <c r="Y129" s="7">
        <v>0</v>
      </c>
      <c r="Z129" s="7">
        <v>17.3</v>
      </c>
    </row>
    <row r="130" spans="1:26" x14ac:dyDescent="0.35">
      <c r="A130" s="7" t="s">
        <v>27</v>
      </c>
      <c r="B130" s="7" t="s">
        <v>41</v>
      </c>
      <c r="C130" s="7" t="s">
        <v>46</v>
      </c>
      <c r="D130" s="7" t="s">
        <v>65</v>
      </c>
      <c r="E130" s="7" t="s">
        <v>29</v>
      </c>
      <c r="F130" s="7" t="s">
        <v>215</v>
      </c>
      <c r="G130" s="7">
        <v>2021</v>
      </c>
      <c r="H130" s="7" t="str">
        <f>CONCATENATE("14240294216")</f>
        <v>14240294216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CONCATENATE("10 10.1 4a")</f>
        <v>10 10.1 4a</v>
      </c>
      <c r="M130" s="7" t="str">
        <f>CONCATENATE("CRVRTI54H64F454S")</f>
        <v>CRVRTI54H64F454S</v>
      </c>
      <c r="N130" s="7" t="s">
        <v>216</v>
      </c>
      <c r="O130" s="7" t="s">
        <v>196</v>
      </c>
      <c r="P130" s="8">
        <v>44642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7">
        <v>333</v>
      </c>
      <c r="W130" s="7">
        <v>143.59</v>
      </c>
      <c r="X130" s="7">
        <v>132.6</v>
      </c>
      <c r="Y130" s="7">
        <v>0</v>
      </c>
      <c r="Z130" s="7">
        <v>56.81</v>
      </c>
    </row>
    <row r="131" spans="1:26" x14ac:dyDescent="0.35">
      <c r="A131" s="7" t="s">
        <v>27</v>
      </c>
      <c r="B131" s="7" t="s">
        <v>41</v>
      </c>
      <c r="C131" s="7" t="s">
        <v>46</v>
      </c>
      <c r="D131" s="7" t="s">
        <v>65</v>
      </c>
      <c r="E131" s="7" t="s">
        <v>39</v>
      </c>
      <c r="F131" s="7" t="s">
        <v>75</v>
      </c>
      <c r="G131" s="7">
        <v>2021</v>
      </c>
      <c r="H131" s="7" t="str">
        <f>CONCATENATE("14241087650")</f>
        <v>14241087650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CONCATENATE("10 10.1 4a")</f>
        <v>10 10.1 4a</v>
      </c>
      <c r="M131" s="7" t="str">
        <f>CONCATENATE("02770060420")</f>
        <v>02770060420</v>
      </c>
      <c r="N131" s="7" t="s">
        <v>217</v>
      </c>
      <c r="O131" s="7" t="s">
        <v>196</v>
      </c>
      <c r="P131" s="8">
        <v>44642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5964.66</v>
      </c>
      <c r="W131" s="9">
        <v>2571.96</v>
      </c>
      <c r="X131" s="9">
        <v>2375.13</v>
      </c>
      <c r="Y131" s="7">
        <v>0</v>
      </c>
      <c r="Z131" s="9">
        <v>1017.57</v>
      </c>
    </row>
    <row r="132" spans="1:26" x14ac:dyDescent="0.35">
      <c r="A132" s="7" t="s">
        <v>27</v>
      </c>
      <c r="B132" s="7" t="s">
        <v>41</v>
      </c>
      <c r="C132" s="7" t="s">
        <v>46</v>
      </c>
      <c r="D132" s="7" t="s">
        <v>65</v>
      </c>
      <c r="E132" s="7" t="s">
        <v>39</v>
      </c>
      <c r="F132" s="7" t="s">
        <v>75</v>
      </c>
      <c r="G132" s="7">
        <v>2021</v>
      </c>
      <c r="H132" s="7" t="str">
        <f>CONCATENATE("14240879875")</f>
        <v>14240879875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CONCATENATE("10 10.1 4a")</f>
        <v>10 10.1 4a</v>
      </c>
      <c r="M132" s="7" t="str">
        <f>CONCATENATE("MNTMRN60P23A366D")</f>
        <v>MNTMRN60P23A366D</v>
      </c>
      <c r="N132" s="7" t="s">
        <v>218</v>
      </c>
      <c r="O132" s="7" t="s">
        <v>196</v>
      </c>
      <c r="P132" s="8">
        <v>44642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2910.1</v>
      </c>
      <c r="W132" s="9">
        <v>1254.8399999999999</v>
      </c>
      <c r="X132" s="9">
        <v>1158.8</v>
      </c>
      <c r="Y132" s="7">
        <v>0</v>
      </c>
      <c r="Z132" s="7">
        <v>496.46</v>
      </c>
    </row>
    <row r="133" spans="1:26" x14ac:dyDescent="0.35">
      <c r="A133" s="7" t="s">
        <v>27</v>
      </c>
      <c r="B133" s="7" t="s">
        <v>41</v>
      </c>
      <c r="C133" s="7" t="s">
        <v>46</v>
      </c>
      <c r="D133" s="7" t="s">
        <v>65</v>
      </c>
      <c r="E133" s="7" t="s">
        <v>44</v>
      </c>
      <c r="F133" s="7" t="s">
        <v>134</v>
      </c>
      <c r="G133" s="7">
        <v>2021</v>
      </c>
      <c r="H133" s="7" t="str">
        <f>CONCATENATE("14240815135")</f>
        <v>14240815135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CONCATENATE("10 10.1 4a")</f>
        <v>10 10.1 4a</v>
      </c>
      <c r="M133" s="7" t="str">
        <f>CONCATENATE("02487080422")</f>
        <v>02487080422</v>
      </c>
      <c r="N133" s="7" t="s">
        <v>219</v>
      </c>
      <c r="O133" s="7" t="s">
        <v>196</v>
      </c>
      <c r="P133" s="8">
        <v>44642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7">
        <v>244.48</v>
      </c>
      <c r="W133" s="7">
        <v>105.42</v>
      </c>
      <c r="X133" s="7">
        <v>97.35</v>
      </c>
      <c r="Y133" s="7">
        <v>0</v>
      </c>
      <c r="Z133" s="7">
        <v>41.71</v>
      </c>
    </row>
    <row r="134" spans="1:26" x14ac:dyDescent="0.35">
      <c r="A134" s="7" t="s">
        <v>27</v>
      </c>
      <c r="B134" s="7" t="s">
        <v>41</v>
      </c>
      <c r="C134" s="7" t="s">
        <v>46</v>
      </c>
      <c r="D134" s="7" t="s">
        <v>65</v>
      </c>
      <c r="E134" s="7" t="s">
        <v>39</v>
      </c>
      <c r="F134" s="7" t="s">
        <v>96</v>
      </c>
      <c r="G134" s="7">
        <v>2021</v>
      </c>
      <c r="H134" s="7" t="str">
        <f>CONCATENATE("14240879792")</f>
        <v>14240879792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CONCATENATE("10 10.1 4a")</f>
        <v>10 10.1 4a</v>
      </c>
      <c r="M134" s="7" t="str">
        <f>CONCATENATE("TDDFST53M05I251V")</f>
        <v>TDDFST53M05I251V</v>
      </c>
      <c r="N134" s="7" t="s">
        <v>220</v>
      </c>
      <c r="O134" s="7" t="s">
        <v>196</v>
      </c>
      <c r="P134" s="8">
        <v>44642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7">
        <v>39.44</v>
      </c>
      <c r="W134" s="7">
        <v>17.010000000000002</v>
      </c>
      <c r="X134" s="7">
        <v>15.71</v>
      </c>
      <c r="Y134" s="7">
        <v>0</v>
      </c>
      <c r="Z134" s="7">
        <v>6.72</v>
      </c>
    </row>
    <row r="135" spans="1:26" x14ac:dyDescent="0.35">
      <c r="A135" s="7" t="s">
        <v>27</v>
      </c>
      <c r="B135" s="7" t="s">
        <v>41</v>
      </c>
      <c r="C135" s="7" t="s">
        <v>46</v>
      </c>
      <c r="D135" s="7" t="s">
        <v>65</v>
      </c>
      <c r="E135" s="7" t="s">
        <v>39</v>
      </c>
      <c r="F135" s="7" t="s">
        <v>75</v>
      </c>
      <c r="G135" s="7">
        <v>2021</v>
      </c>
      <c r="H135" s="7" t="str">
        <f>CONCATENATE("14241080283")</f>
        <v>14241080283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CONCATENATE("10 10.1 4a")</f>
        <v>10 10.1 4a</v>
      </c>
      <c r="M135" s="7" t="str">
        <f>CONCATENATE("MNRDVD95H22I608R")</f>
        <v>MNRDVD95H22I608R</v>
      </c>
      <c r="N135" s="7" t="s">
        <v>221</v>
      </c>
      <c r="O135" s="7" t="s">
        <v>196</v>
      </c>
      <c r="P135" s="8">
        <v>44642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7">
        <v>64.44</v>
      </c>
      <c r="W135" s="7">
        <v>27.79</v>
      </c>
      <c r="X135" s="7">
        <v>25.66</v>
      </c>
      <c r="Y135" s="7">
        <v>0</v>
      </c>
      <c r="Z135" s="7">
        <v>10.99</v>
      </c>
    </row>
    <row r="136" spans="1:26" x14ac:dyDescent="0.35">
      <c r="A136" s="7" t="s">
        <v>27</v>
      </c>
      <c r="B136" s="7" t="s">
        <v>41</v>
      </c>
      <c r="C136" s="7" t="s">
        <v>46</v>
      </c>
      <c r="D136" s="7" t="s">
        <v>65</v>
      </c>
      <c r="E136" s="7" t="s">
        <v>44</v>
      </c>
      <c r="F136" s="7" t="s">
        <v>222</v>
      </c>
      <c r="G136" s="7">
        <v>2021</v>
      </c>
      <c r="H136" s="7" t="str">
        <f>CONCATENATE("14240487000")</f>
        <v>14240487000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CONCATENATE("10 10.1 4a")</f>
        <v>10 10.1 4a</v>
      </c>
      <c r="M136" s="7" t="str">
        <f>CONCATENATE("BROFNC84B10C615H")</f>
        <v>BROFNC84B10C615H</v>
      </c>
      <c r="N136" s="7" t="s">
        <v>223</v>
      </c>
      <c r="O136" s="7" t="s">
        <v>196</v>
      </c>
      <c r="P136" s="8">
        <v>44642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1367.7</v>
      </c>
      <c r="W136" s="7">
        <v>589.75</v>
      </c>
      <c r="X136" s="7">
        <v>544.62</v>
      </c>
      <c r="Y136" s="7">
        <v>0</v>
      </c>
      <c r="Z136" s="7">
        <v>233.33</v>
      </c>
    </row>
    <row r="137" spans="1:26" x14ac:dyDescent="0.35">
      <c r="A137" s="7" t="s">
        <v>27</v>
      </c>
      <c r="B137" s="7" t="s">
        <v>41</v>
      </c>
      <c r="C137" s="7" t="s">
        <v>46</v>
      </c>
      <c r="D137" s="7" t="s">
        <v>65</v>
      </c>
      <c r="E137" s="7" t="s">
        <v>38</v>
      </c>
      <c r="F137" s="7" t="s">
        <v>224</v>
      </c>
      <c r="G137" s="7">
        <v>2020</v>
      </c>
      <c r="H137" s="7" t="str">
        <f>CONCATENATE("04241317330")</f>
        <v>04241317330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CONCATENATE("10 10.1 4a")</f>
        <v>10 10.1 4a</v>
      </c>
      <c r="M137" s="7" t="str">
        <f>CONCATENATE("SBBLCU79L21E388P")</f>
        <v>SBBLCU79L21E388P</v>
      </c>
      <c r="N137" s="7" t="s">
        <v>225</v>
      </c>
      <c r="O137" s="7" t="s">
        <v>196</v>
      </c>
      <c r="P137" s="8">
        <v>44642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7">
        <v>18.78</v>
      </c>
      <c r="W137" s="7">
        <v>8.1</v>
      </c>
      <c r="X137" s="7">
        <v>7.48</v>
      </c>
      <c r="Y137" s="7">
        <v>0</v>
      </c>
      <c r="Z137" s="7">
        <v>3.2</v>
      </c>
    </row>
    <row r="138" spans="1:26" x14ac:dyDescent="0.35">
      <c r="A138" s="7" t="s">
        <v>27</v>
      </c>
      <c r="B138" s="7" t="s">
        <v>41</v>
      </c>
      <c r="C138" s="7" t="s">
        <v>46</v>
      </c>
      <c r="D138" s="7" t="s">
        <v>65</v>
      </c>
      <c r="E138" s="7" t="s">
        <v>38</v>
      </c>
      <c r="F138" s="7" t="s">
        <v>224</v>
      </c>
      <c r="G138" s="7">
        <v>2020</v>
      </c>
      <c r="H138" s="7" t="str">
        <f>CONCATENATE("04241317348")</f>
        <v>04241317348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CONCATENATE("10 10.1 4a")</f>
        <v>10 10.1 4a</v>
      </c>
      <c r="M138" s="7" t="str">
        <f>CONCATENATE("SBBLCU79L21E388P")</f>
        <v>SBBLCU79L21E388P</v>
      </c>
      <c r="N138" s="7" t="s">
        <v>225</v>
      </c>
      <c r="O138" s="7" t="s">
        <v>196</v>
      </c>
      <c r="P138" s="8">
        <v>44642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7">
        <v>773.48</v>
      </c>
      <c r="W138" s="7">
        <v>333.52</v>
      </c>
      <c r="X138" s="7">
        <v>308</v>
      </c>
      <c r="Y138" s="7">
        <v>0</v>
      </c>
      <c r="Z138" s="7">
        <v>131.96</v>
      </c>
    </row>
    <row r="139" spans="1:26" x14ac:dyDescent="0.35">
      <c r="A139" s="7" t="s">
        <v>27</v>
      </c>
      <c r="B139" s="7" t="s">
        <v>41</v>
      </c>
      <c r="C139" s="7" t="s">
        <v>46</v>
      </c>
      <c r="D139" s="7" t="s">
        <v>63</v>
      </c>
      <c r="E139" s="7" t="s">
        <v>38</v>
      </c>
      <c r="F139" s="7" t="s">
        <v>85</v>
      </c>
      <c r="G139" s="7">
        <v>2021</v>
      </c>
      <c r="H139" s="7" t="str">
        <f>CONCATENATE("14240410085")</f>
        <v>14240410085</v>
      </c>
      <c r="I139" s="7" t="s">
        <v>45</v>
      </c>
      <c r="J139" s="7" t="s">
        <v>31</v>
      </c>
      <c r="K139" s="7" t="str">
        <f>CONCATENATE("")</f>
        <v/>
      </c>
      <c r="L139" s="7" t="str">
        <f>CONCATENATE("14 14.1 3a")</f>
        <v>14 14.1 3a</v>
      </c>
      <c r="M139" s="7" t="str">
        <f>CONCATENATE("PLMTNN63D27G637N")</f>
        <v>PLMTNN63D27G637N</v>
      </c>
      <c r="N139" s="7" t="s">
        <v>226</v>
      </c>
      <c r="O139" s="7" t="s">
        <v>227</v>
      </c>
      <c r="P139" s="8">
        <v>44642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10880</v>
      </c>
      <c r="W139" s="9">
        <v>4691.46</v>
      </c>
      <c r="X139" s="9">
        <v>4332.42</v>
      </c>
      <c r="Y139" s="7">
        <v>0</v>
      </c>
      <c r="Z139" s="9">
        <v>1856.12</v>
      </c>
    </row>
    <row r="140" spans="1:26" x14ac:dyDescent="0.35">
      <c r="A140" s="7" t="s">
        <v>27</v>
      </c>
      <c r="B140" s="7" t="s">
        <v>41</v>
      </c>
      <c r="C140" s="7" t="s">
        <v>46</v>
      </c>
      <c r="D140" s="7" t="s">
        <v>63</v>
      </c>
      <c r="E140" s="7" t="s">
        <v>38</v>
      </c>
      <c r="F140" s="7" t="s">
        <v>85</v>
      </c>
      <c r="G140" s="7">
        <v>2021</v>
      </c>
      <c r="H140" s="7" t="str">
        <f>CONCATENATE("14240409889")</f>
        <v>14240409889</v>
      </c>
      <c r="I140" s="7" t="s">
        <v>45</v>
      </c>
      <c r="J140" s="7" t="s">
        <v>31</v>
      </c>
      <c r="K140" s="7" t="str">
        <f>CONCATENATE("")</f>
        <v/>
      </c>
      <c r="L140" s="7" t="str">
        <f>CONCATENATE("14 14.1 3a")</f>
        <v>14 14.1 3a</v>
      </c>
      <c r="M140" s="7" t="str">
        <f>CONCATENATE("PLMTNN63D27G637N")</f>
        <v>PLMTNN63D27G637N</v>
      </c>
      <c r="N140" s="7" t="s">
        <v>226</v>
      </c>
      <c r="O140" s="7" t="s">
        <v>227</v>
      </c>
      <c r="P140" s="8">
        <v>44642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6925.5</v>
      </c>
      <c r="W140" s="9">
        <v>2986.28</v>
      </c>
      <c r="X140" s="9">
        <v>2757.73</v>
      </c>
      <c r="Y140" s="7">
        <v>0</v>
      </c>
      <c r="Z140" s="9">
        <v>1181.49</v>
      </c>
    </row>
    <row r="141" spans="1:26" x14ac:dyDescent="0.35">
      <c r="A141" s="7" t="s">
        <v>27</v>
      </c>
      <c r="B141" s="7" t="s">
        <v>41</v>
      </c>
      <c r="C141" s="7" t="s">
        <v>46</v>
      </c>
      <c r="D141" s="7" t="s">
        <v>63</v>
      </c>
      <c r="E141" s="7" t="s">
        <v>38</v>
      </c>
      <c r="F141" s="7" t="s">
        <v>85</v>
      </c>
      <c r="G141" s="7">
        <v>2021</v>
      </c>
      <c r="H141" s="7" t="str">
        <f>CONCATENATE("14241375295")</f>
        <v>14241375295</v>
      </c>
      <c r="I141" s="7" t="s">
        <v>45</v>
      </c>
      <c r="J141" s="7" t="s">
        <v>31</v>
      </c>
      <c r="K141" s="7" t="str">
        <f>CONCATENATE("")</f>
        <v/>
      </c>
      <c r="L141" s="7" t="str">
        <f>CONCATENATE("14 14.1 3a")</f>
        <v>14 14.1 3a</v>
      </c>
      <c r="M141" s="7" t="str">
        <f>CONCATENATE("RCCNLS55P67D564V")</f>
        <v>RCCNLS55P67D564V</v>
      </c>
      <c r="N141" s="7" t="s">
        <v>228</v>
      </c>
      <c r="O141" s="7" t="s">
        <v>227</v>
      </c>
      <c r="P141" s="8">
        <v>44642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4634</v>
      </c>
      <c r="W141" s="9">
        <v>1998.18</v>
      </c>
      <c r="X141" s="9">
        <v>1845.26</v>
      </c>
      <c r="Y141" s="7">
        <v>0</v>
      </c>
      <c r="Z141" s="7">
        <v>790.56</v>
      </c>
    </row>
    <row r="142" spans="1:26" x14ac:dyDescent="0.35">
      <c r="A142" s="7" t="s">
        <v>27</v>
      </c>
      <c r="B142" s="7" t="s">
        <v>41</v>
      </c>
      <c r="C142" s="7" t="s">
        <v>46</v>
      </c>
      <c r="D142" s="7" t="s">
        <v>57</v>
      </c>
      <c r="E142" s="7" t="s">
        <v>38</v>
      </c>
      <c r="F142" s="7" t="s">
        <v>166</v>
      </c>
      <c r="G142" s="7">
        <v>2021</v>
      </c>
      <c r="H142" s="7" t="str">
        <f>CONCATENATE("14210372901")</f>
        <v>14210372901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CONCATENATE("13 13.1 4a")</f>
        <v>13 13.1 4a</v>
      </c>
      <c r="M142" s="7" t="str">
        <f>CONCATENATE("PLCLCN53A25B352U")</f>
        <v>PLCLCN53A25B352U</v>
      </c>
      <c r="N142" s="7" t="s">
        <v>229</v>
      </c>
      <c r="O142" s="7" t="s">
        <v>190</v>
      </c>
      <c r="P142" s="8">
        <v>44642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9">
        <v>2510.48</v>
      </c>
      <c r="W142" s="9">
        <v>1082.52</v>
      </c>
      <c r="X142" s="7">
        <v>999.67</v>
      </c>
      <c r="Y142" s="7">
        <v>0</v>
      </c>
      <c r="Z142" s="7">
        <v>428.29</v>
      </c>
    </row>
    <row r="143" spans="1:26" x14ac:dyDescent="0.35">
      <c r="A143" s="7" t="s">
        <v>27</v>
      </c>
      <c r="B143" s="7" t="s">
        <v>41</v>
      </c>
      <c r="C143" s="7" t="s">
        <v>46</v>
      </c>
      <c r="D143" s="7" t="s">
        <v>65</v>
      </c>
      <c r="E143" s="7" t="s">
        <v>39</v>
      </c>
      <c r="F143" s="7" t="s">
        <v>75</v>
      </c>
      <c r="G143" s="7">
        <v>2021</v>
      </c>
      <c r="H143" s="7" t="str">
        <f>CONCATENATE("14210489614")</f>
        <v>14210489614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CONCATENATE("13 13.1 4a")</f>
        <v>13 13.1 4a</v>
      </c>
      <c r="M143" s="7" t="str">
        <f>CONCATENATE("LMTRSO35E67D965E")</f>
        <v>LMTRSO35E67D965E</v>
      </c>
      <c r="N143" s="7" t="s">
        <v>230</v>
      </c>
      <c r="O143" s="7" t="s">
        <v>190</v>
      </c>
      <c r="P143" s="8">
        <v>44642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7">
        <v>243.81</v>
      </c>
      <c r="W143" s="7">
        <v>105.13</v>
      </c>
      <c r="X143" s="7">
        <v>97.09</v>
      </c>
      <c r="Y143" s="7">
        <v>0</v>
      </c>
      <c r="Z143" s="7">
        <v>41.59</v>
      </c>
    </row>
    <row r="144" spans="1:26" x14ac:dyDescent="0.35">
      <c r="A144" s="7" t="s">
        <v>27</v>
      </c>
      <c r="B144" s="7" t="s">
        <v>41</v>
      </c>
      <c r="C144" s="7" t="s">
        <v>46</v>
      </c>
      <c r="D144" s="7" t="s">
        <v>57</v>
      </c>
      <c r="E144" s="7" t="s">
        <v>38</v>
      </c>
      <c r="F144" s="7" t="s">
        <v>110</v>
      </c>
      <c r="G144" s="7">
        <v>2021</v>
      </c>
      <c r="H144" s="7" t="str">
        <f>CONCATENATE("14210857885")</f>
        <v>14210857885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CONCATENATE("13 13.1 4a")</f>
        <v>13 13.1 4a</v>
      </c>
      <c r="M144" s="7" t="str">
        <f>CONCATENATE("01416230413")</f>
        <v>01416230413</v>
      </c>
      <c r="N144" s="7" t="s">
        <v>231</v>
      </c>
      <c r="O144" s="7" t="s">
        <v>190</v>
      </c>
      <c r="P144" s="8">
        <v>44642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3773.14</v>
      </c>
      <c r="W144" s="9">
        <v>1626.98</v>
      </c>
      <c r="X144" s="9">
        <v>1502.46</v>
      </c>
      <c r="Y144" s="7">
        <v>0</v>
      </c>
      <c r="Z144" s="7">
        <v>643.70000000000005</v>
      </c>
    </row>
    <row r="145" spans="1:26" x14ac:dyDescent="0.35">
      <c r="A145" s="7" t="s">
        <v>27</v>
      </c>
      <c r="B145" s="7" t="s">
        <v>41</v>
      </c>
      <c r="C145" s="7" t="s">
        <v>46</v>
      </c>
      <c r="D145" s="7" t="s">
        <v>57</v>
      </c>
      <c r="E145" s="7" t="s">
        <v>38</v>
      </c>
      <c r="F145" s="7" t="s">
        <v>232</v>
      </c>
      <c r="G145" s="7">
        <v>2021</v>
      </c>
      <c r="H145" s="7" t="str">
        <f>CONCATENATE("14210498243")</f>
        <v>14210498243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CONCATENATE("13 13.1 4a")</f>
        <v>13 13.1 4a</v>
      </c>
      <c r="M145" s="7" t="str">
        <f>CONCATENATE("MRCDVD71P08I459J")</f>
        <v>MRCDVD71P08I459J</v>
      </c>
      <c r="N145" s="7" t="s">
        <v>233</v>
      </c>
      <c r="O145" s="7" t="s">
        <v>190</v>
      </c>
      <c r="P145" s="8">
        <v>44642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9">
        <v>1992.46</v>
      </c>
      <c r="W145" s="7">
        <v>859.15</v>
      </c>
      <c r="X145" s="7">
        <v>793.4</v>
      </c>
      <c r="Y145" s="7">
        <v>0</v>
      </c>
      <c r="Z145" s="7">
        <v>339.91</v>
      </c>
    </row>
    <row r="146" spans="1:26" x14ac:dyDescent="0.35">
      <c r="A146" s="7" t="s">
        <v>27</v>
      </c>
      <c r="B146" s="7" t="s">
        <v>41</v>
      </c>
      <c r="C146" s="7" t="s">
        <v>46</v>
      </c>
      <c r="D146" s="7" t="s">
        <v>57</v>
      </c>
      <c r="E146" s="7" t="s">
        <v>38</v>
      </c>
      <c r="F146" s="7" t="s">
        <v>166</v>
      </c>
      <c r="G146" s="7">
        <v>2021</v>
      </c>
      <c r="H146" s="7" t="str">
        <f>CONCATENATE("14210188596")</f>
        <v>14210188596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CONCATENATE("13 13.1 4a")</f>
        <v>13 13.1 4a</v>
      </c>
      <c r="M146" s="7" t="str">
        <f>CONCATENATE("FRRCHR86M54B352T")</f>
        <v>FRRCHR86M54B352T</v>
      </c>
      <c r="N146" s="7" t="s">
        <v>234</v>
      </c>
      <c r="O146" s="7" t="s">
        <v>190</v>
      </c>
      <c r="P146" s="8">
        <v>44642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9">
        <v>3751.03</v>
      </c>
      <c r="W146" s="9">
        <v>1617.44</v>
      </c>
      <c r="X146" s="9">
        <v>1493.66</v>
      </c>
      <c r="Y146" s="7">
        <v>0</v>
      </c>
      <c r="Z146" s="7">
        <v>639.92999999999995</v>
      </c>
    </row>
    <row r="147" spans="1:26" x14ac:dyDescent="0.35">
      <c r="A147" s="7" t="s">
        <v>27</v>
      </c>
      <c r="B147" s="7" t="s">
        <v>41</v>
      </c>
      <c r="C147" s="7" t="s">
        <v>46</v>
      </c>
      <c r="D147" s="7" t="s">
        <v>57</v>
      </c>
      <c r="E147" s="7" t="s">
        <v>38</v>
      </c>
      <c r="F147" s="7" t="s">
        <v>166</v>
      </c>
      <c r="G147" s="7">
        <v>2021</v>
      </c>
      <c r="H147" s="7" t="str">
        <f>CONCATENATE("14211203386")</f>
        <v>14211203386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CONCATENATE("13 13.1 4a")</f>
        <v>13 13.1 4a</v>
      </c>
      <c r="M147" s="7" t="str">
        <f>CONCATENATE("BGCFRC93E28L500B")</f>
        <v>BGCFRC93E28L500B</v>
      </c>
      <c r="N147" s="7" t="s">
        <v>235</v>
      </c>
      <c r="O147" s="7" t="s">
        <v>190</v>
      </c>
      <c r="P147" s="8">
        <v>44642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9">
        <v>1948.52</v>
      </c>
      <c r="W147" s="7">
        <v>840.2</v>
      </c>
      <c r="X147" s="7">
        <v>775.9</v>
      </c>
      <c r="Y147" s="7">
        <v>0</v>
      </c>
      <c r="Z147" s="7">
        <v>332.42</v>
      </c>
    </row>
    <row r="148" spans="1:26" x14ac:dyDescent="0.35">
      <c r="A148" s="7" t="s">
        <v>27</v>
      </c>
      <c r="B148" s="7" t="s">
        <v>41</v>
      </c>
      <c r="C148" s="7" t="s">
        <v>46</v>
      </c>
      <c r="D148" s="7" t="s">
        <v>63</v>
      </c>
      <c r="E148" s="7" t="s">
        <v>38</v>
      </c>
      <c r="F148" s="7" t="s">
        <v>85</v>
      </c>
      <c r="G148" s="7">
        <v>2021</v>
      </c>
      <c r="H148" s="7" t="str">
        <f>CONCATENATE("14241277657")</f>
        <v>14241277657</v>
      </c>
      <c r="I148" s="7" t="s">
        <v>45</v>
      </c>
      <c r="J148" s="7" t="s">
        <v>31</v>
      </c>
      <c r="K148" s="7" t="str">
        <f>CONCATENATE("")</f>
        <v/>
      </c>
      <c r="L148" s="7" t="str">
        <f>CONCATENATE("14 14.1 3a")</f>
        <v>14 14.1 3a</v>
      </c>
      <c r="M148" s="7" t="str">
        <f>CONCATENATE("LBNLRT75S26B474K")</f>
        <v>LBNLRT75S26B474K</v>
      </c>
      <c r="N148" s="7" t="s">
        <v>236</v>
      </c>
      <c r="O148" s="7" t="s">
        <v>227</v>
      </c>
      <c r="P148" s="8">
        <v>44642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7557</v>
      </c>
      <c r="W148" s="9">
        <v>3258.58</v>
      </c>
      <c r="X148" s="9">
        <v>3009.2</v>
      </c>
      <c r="Y148" s="7">
        <v>0</v>
      </c>
      <c r="Z148" s="9">
        <v>1289.22</v>
      </c>
    </row>
    <row r="149" spans="1:26" x14ac:dyDescent="0.35">
      <c r="A149" s="7" t="s">
        <v>27</v>
      </c>
      <c r="B149" s="7" t="s">
        <v>41</v>
      </c>
      <c r="C149" s="7" t="s">
        <v>46</v>
      </c>
      <c r="D149" s="7" t="s">
        <v>63</v>
      </c>
      <c r="E149" s="7" t="s">
        <v>38</v>
      </c>
      <c r="F149" s="7" t="s">
        <v>85</v>
      </c>
      <c r="G149" s="7">
        <v>2021</v>
      </c>
      <c r="H149" s="7" t="str">
        <f>CONCATENATE("14241159533")</f>
        <v>14241159533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CONCATENATE("14 14.1 3a")</f>
        <v>14 14.1 3a</v>
      </c>
      <c r="M149" s="7" t="str">
        <f>CONCATENATE("MCALSN96H01B474X")</f>
        <v>MCALSN96H01B474X</v>
      </c>
      <c r="N149" s="7" t="s">
        <v>237</v>
      </c>
      <c r="O149" s="7" t="s">
        <v>227</v>
      </c>
      <c r="P149" s="8">
        <v>44642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9">
        <v>4617</v>
      </c>
      <c r="W149" s="9">
        <v>1990.85</v>
      </c>
      <c r="X149" s="9">
        <v>1838.49</v>
      </c>
      <c r="Y149" s="7">
        <v>0</v>
      </c>
      <c r="Z149" s="7">
        <v>787.66</v>
      </c>
    </row>
    <row r="150" spans="1:26" x14ac:dyDescent="0.35">
      <c r="A150" s="7" t="s">
        <v>27</v>
      </c>
      <c r="B150" s="7" t="s">
        <v>41</v>
      </c>
      <c r="C150" s="7" t="s">
        <v>46</v>
      </c>
      <c r="D150" s="7" t="s">
        <v>63</v>
      </c>
      <c r="E150" s="7" t="s">
        <v>38</v>
      </c>
      <c r="F150" s="7" t="s">
        <v>85</v>
      </c>
      <c r="G150" s="7">
        <v>2021</v>
      </c>
      <c r="H150" s="7" t="str">
        <f>CONCATENATE("14241310912")</f>
        <v>14241310912</v>
      </c>
      <c r="I150" s="7" t="s">
        <v>45</v>
      </c>
      <c r="J150" s="7" t="s">
        <v>31</v>
      </c>
      <c r="K150" s="7" t="str">
        <f>CONCATENATE("")</f>
        <v/>
      </c>
      <c r="L150" s="7" t="str">
        <f>CONCATENATE("14 14.1 3a")</f>
        <v>14 14.1 3a</v>
      </c>
      <c r="M150" s="7" t="str">
        <f>CONCATENATE("NGLGNN90P20B474S")</f>
        <v>NGLGNN90P20B474S</v>
      </c>
      <c r="N150" s="7" t="s">
        <v>238</v>
      </c>
      <c r="O150" s="7" t="s">
        <v>227</v>
      </c>
      <c r="P150" s="8">
        <v>44642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9">
        <v>10465.200000000001</v>
      </c>
      <c r="W150" s="9">
        <v>4512.59</v>
      </c>
      <c r="X150" s="9">
        <v>4167.24</v>
      </c>
      <c r="Y150" s="7">
        <v>0</v>
      </c>
      <c r="Z150" s="9">
        <v>1785.37</v>
      </c>
    </row>
    <row r="151" spans="1:26" x14ac:dyDescent="0.35">
      <c r="A151" s="7" t="s">
        <v>27</v>
      </c>
      <c r="B151" s="7" t="s">
        <v>41</v>
      </c>
      <c r="C151" s="7" t="s">
        <v>46</v>
      </c>
      <c r="D151" s="7" t="s">
        <v>63</v>
      </c>
      <c r="E151" s="7" t="s">
        <v>38</v>
      </c>
      <c r="F151" s="7" t="s">
        <v>85</v>
      </c>
      <c r="G151" s="7">
        <v>2021</v>
      </c>
      <c r="H151" s="7" t="str">
        <f>CONCATENATE("14241026781")</f>
        <v>14241026781</v>
      </c>
      <c r="I151" s="7" t="s">
        <v>45</v>
      </c>
      <c r="J151" s="7" t="s">
        <v>31</v>
      </c>
      <c r="K151" s="7" t="str">
        <f>CONCATENATE("")</f>
        <v/>
      </c>
      <c r="L151" s="7" t="str">
        <f>CONCATENATE("14 14.1 3a")</f>
        <v>14 14.1 3a</v>
      </c>
      <c r="M151" s="7" t="str">
        <f>CONCATENATE("RSSNCL43B08I569Q")</f>
        <v>RSSNCL43B08I569Q</v>
      </c>
      <c r="N151" s="7" t="s">
        <v>239</v>
      </c>
      <c r="O151" s="7" t="s">
        <v>227</v>
      </c>
      <c r="P151" s="8">
        <v>44642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9">
        <v>11400</v>
      </c>
      <c r="W151" s="9">
        <v>4915.68</v>
      </c>
      <c r="X151" s="9">
        <v>4539.4799999999996</v>
      </c>
      <c r="Y151" s="7">
        <v>0</v>
      </c>
      <c r="Z151" s="9">
        <v>1944.84</v>
      </c>
    </row>
    <row r="152" spans="1:26" x14ac:dyDescent="0.35">
      <c r="A152" s="7" t="s">
        <v>27</v>
      </c>
      <c r="B152" s="7" t="s">
        <v>41</v>
      </c>
      <c r="C152" s="7" t="s">
        <v>46</v>
      </c>
      <c r="D152" s="7" t="s">
        <v>63</v>
      </c>
      <c r="E152" s="7" t="s">
        <v>36</v>
      </c>
      <c r="F152" s="7" t="s">
        <v>36</v>
      </c>
      <c r="G152" s="7">
        <v>2021</v>
      </c>
      <c r="H152" s="7" t="str">
        <f>CONCATENATE("14241243915")</f>
        <v>14241243915</v>
      </c>
      <c r="I152" s="7" t="s">
        <v>45</v>
      </c>
      <c r="J152" s="7" t="s">
        <v>31</v>
      </c>
      <c r="K152" s="7" t="str">
        <f>CONCATENATE("")</f>
        <v/>
      </c>
      <c r="L152" s="7" t="str">
        <f>CONCATENATE("14 14.1 3a")</f>
        <v>14 14.1 3a</v>
      </c>
      <c r="M152" s="7" t="str">
        <f>CONCATENATE("01297880435")</f>
        <v>01297880435</v>
      </c>
      <c r="N152" s="7" t="s">
        <v>240</v>
      </c>
      <c r="O152" s="7" t="s">
        <v>227</v>
      </c>
      <c r="P152" s="8">
        <v>44642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9">
        <v>23501</v>
      </c>
      <c r="W152" s="9">
        <v>10133.629999999999</v>
      </c>
      <c r="X152" s="9">
        <v>9358.1</v>
      </c>
      <c r="Y152" s="7">
        <v>0</v>
      </c>
      <c r="Z152" s="9">
        <v>4009.27</v>
      </c>
    </row>
    <row r="153" spans="1:26" x14ac:dyDescent="0.35">
      <c r="A153" s="7" t="s">
        <v>27</v>
      </c>
      <c r="B153" s="7" t="s">
        <v>41</v>
      </c>
      <c r="C153" s="7" t="s">
        <v>46</v>
      </c>
      <c r="D153" s="7" t="s">
        <v>63</v>
      </c>
      <c r="E153" s="7" t="s">
        <v>42</v>
      </c>
      <c r="F153" s="7" t="s">
        <v>241</v>
      </c>
      <c r="G153" s="7">
        <v>2021</v>
      </c>
      <c r="H153" s="7" t="str">
        <f>CONCATENATE("14240508904")</f>
        <v>14240508904</v>
      </c>
      <c r="I153" s="7" t="s">
        <v>45</v>
      </c>
      <c r="J153" s="7" t="s">
        <v>31</v>
      </c>
      <c r="K153" s="7" t="str">
        <f>CONCATENATE("")</f>
        <v/>
      </c>
      <c r="L153" s="7" t="str">
        <f>CONCATENATE("14 14.1 3a")</f>
        <v>14 14.1 3a</v>
      </c>
      <c r="M153" s="7" t="str">
        <f>CONCATENATE("01094640438")</f>
        <v>01094640438</v>
      </c>
      <c r="N153" s="7" t="s">
        <v>242</v>
      </c>
      <c r="O153" s="7" t="s">
        <v>227</v>
      </c>
      <c r="P153" s="8">
        <v>44642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9">
        <v>32835.199999999997</v>
      </c>
      <c r="W153" s="9">
        <v>14158.54</v>
      </c>
      <c r="X153" s="9">
        <v>13074.98</v>
      </c>
      <c r="Y153" s="7">
        <v>0</v>
      </c>
      <c r="Z153" s="9">
        <v>5601.68</v>
      </c>
    </row>
    <row r="154" spans="1:26" x14ac:dyDescent="0.35">
      <c r="A154" s="7" t="s">
        <v>27</v>
      </c>
      <c r="B154" s="7" t="s">
        <v>41</v>
      </c>
      <c r="C154" s="7" t="s">
        <v>46</v>
      </c>
      <c r="D154" s="7" t="s">
        <v>63</v>
      </c>
      <c r="E154" s="7" t="s">
        <v>38</v>
      </c>
      <c r="F154" s="7" t="s">
        <v>85</v>
      </c>
      <c r="G154" s="7">
        <v>2021</v>
      </c>
      <c r="H154" s="7" t="str">
        <f>CONCATENATE("14240978800")</f>
        <v>14240978800</v>
      </c>
      <c r="I154" s="7" t="s">
        <v>45</v>
      </c>
      <c r="J154" s="7" t="s">
        <v>31</v>
      </c>
      <c r="K154" s="7" t="str">
        <f>CONCATENATE("")</f>
        <v/>
      </c>
      <c r="L154" s="7" t="str">
        <f>CONCATENATE("14 14.1 3a")</f>
        <v>14 14.1 3a</v>
      </c>
      <c r="M154" s="7" t="str">
        <f>CONCATENATE("BNDLRD95H18B474B")</f>
        <v>BNDLRD95H18B474B</v>
      </c>
      <c r="N154" s="7" t="s">
        <v>243</v>
      </c>
      <c r="O154" s="7" t="s">
        <v>227</v>
      </c>
      <c r="P154" s="8">
        <v>44642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9">
        <v>3250</v>
      </c>
      <c r="W154" s="9">
        <v>1401.4</v>
      </c>
      <c r="X154" s="9">
        <v>1294.1500000000001</v>
      </c>
      <c r="Y154" s="7">
        <v>0</v>
      </c>
      <c r="Z154" s="7">
        <v>554.45000000000005</v>
      </c>
    </row>
    <row r="155" spans="1:26" x14ac:dyDescent="0.35">
      <c r="A155" s="7" t="s">
        <v>27</v>
      </c>
      <c r="B155" s="7" t="s">
        <v>41</v>
      </c>
      <c r="C155" s="7" t="s">
        <v>46</v>
      </c>
      <c r="D155" s="7" t="s">
        <v>63</v>
      </c>
      <c r="E155" s="7" t="s">
        <v>38</v>
      </c>
      <c r="F155" s="7" t="s">
        <v>157</v>
      </c>
      <c r="G155" s="7">
        <v>2021</v>
      </c>
      <c r="H155" s="7" t="str">
        <f>CONCATENATE("14240526898")</f>
        <v>14240526898</v>
      </c>
      <c r="I155" s="7" t="s">
        <v>45</v>
      </c>
      <c r="J155" s="7" t="s">
        <v>31</v>
      </c>
      <c r="K155" s="7" t="str">
        <f>CONCATENATE("")</f>
        <v/>
      </c>
      <c r="L155" s="7" t="str">
        <f>CONCATENATE("14 14.1 3a")</f>
        <v>14 14.1 3a</v>
      </c>
      <c r="M155" s="7" t="str">
        <f>CONCATENATE("MRTSFN69L58D542O")</f>
        <v>MRTSFN69L58D542O</v>
      </c>
      <c r="N155" s="7" t="s">
        <v>244</v>
      </c>
      <c r="O155" s="7" t="s">
        <v>227</v>
      </c>
      <c r="P155" s="8">
        <v>44642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9">
        <v>7990.4</v>
      </c>
      <c r="W155" s="9">
        <v>3445.46</v>
      </c>
      <c r="X155" s="9">
        <v>3181.78</v>
      </c>
      <c r="Y155" s="7">
        <v>0</v>
      </c>
      <c r="Z155" s="9">
        <v>1363.16</v>
      </c>
    </row>
    <row r="156" spans="1:26" x14ac:dyDescent="0.35">
      <c r="A156" s="7" t="s">
        <v>27</v>
      </c>
      <c r="B156" s="7" t="s">
        <v>41</v>
      </c>
      <c r="C156" s="7" t="s">
        <v>46</v>
      </c>
      <c r="D156" s="7" t="s">
        <v>63</v>
      </c>
      <c r="E156" s="7" t="s">
        <v>42</v>
      </c>
      <c r="F156" s="7" t="s">
        <v>241</v>
      </c>
      <c r="G156" s="7">
        <v>2021</v>
      </c>
      <c r="H156" s="7" t="str">
        <f>CONCATENATE("14240487208")</f>
        <v>14240487208</v>
      </c>
      <c r="I156" s="7" t="s">
        <v>45</v>
      </c>
      <c r="J156" s="7" t="s">
        <v>31</v>
      </c>
      <c r="K156" s="7" t="str">
        <f>CONCATENATE("")</f>
        <v/>
      </c>
      <c r="L156" s="7" t="str">
        <f>CONCATENATE("14 14.1 3a")</f>
        <v>14 14.1 3a</v>
      </c>
      <c r="M156" s="7" t="str">
        <f>CONCATENATE("MSCMLN89C13L117K")</f>
        <v>MSCMLN89C13L117K</v>
      </c>
      <c r="N156" s="7" t="s">
        <v>245</v>
      </c>
      <c r="O156" s="7" t="s">
        <v>227</v>
      </c>
      <c r="P156" s="8">
        <v>44642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9">
        <v>8560</v>
      </c>
      <c r="W156" s="9">
        <v>3691.07</v>
      </c>
      <c r="X156" s="9">
        <v>3408.59</v>
      </c>
      <c r="Y156" s="7">
        <v>0</v>
      </c>
      <c r="Z156" s="9">
        <v>1460.34</v>
      </c>
    </row>
    <row r="157" spans="1:26" x14ac:dyDescent="0.35">
      <c r="A157" s="7" t="s">
        <v>27</v>
      </c>
      <c r="B157" s="7" t="s">
        <v>41</v>
      </c>
      <c r="C157" s="7" t="s">
        <v>46</v>
      </c>
      <c r="D157" s="7" t="s">
        <v>63</v>
      </c>
      <c r="E157" s="7" t="s">
        <v>36</v>
      </c>
      <c r="F157" s="7" t="s">
        <v>36</v>
      </c>
      <c r="G157" s="7">
        <v>2021</v>
      </c>
      <c r="H157" s="7" t="str">
        <f>CONCATENATE("14240483132")</f>
        <v>14240483132</v>
      </c>
      <c r="I157" s="7" t="s">
        <v>45</v>
      </c>
      <c r="J157" s="7" t="s">
        <v>31</v>
      </c>
      <c r="K157" s="7" t="str">
        <f>CONCATENATE("")</f>
        <v/>
      </c>
      <c r="L157" s="7" t="str">
        <f>CONCATENATE("14 14.1 3a")</f>
        <v>14 14.1 3a</v>
      </c>
      <c r="M157" s="7" t="str">
        <f>CONCATENATE("SCLRRT58P14D024H")</f>
        <v>SCLRRT58P14D024H</v>
      </c>
      <c r="N157" s="7" t="s">
        <v>246</v>
      </c>
      <c r="O157" s="7" t="s">
        <v>227</v>
      </c>
      <c r="P157" s="8">
        <v>44642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9">
        <v>5130</v>
      </c>
      <c r="W157" s="9">
        <v>2212.06</v>
      </c>
      <c r="X157" s="9">
        <v>2042.77</v>
      </c>
      <c r="Y157" s="7">
        <v>0</v>
      </c>
      <c r="Z157" s="7">
        <v>875.17</v>
      </c>
    </row>
    <row r="158" spans="1:26" x14ac:dyDescent="0.35">
      <c r="A158" s="7" t="s">
        <v>27</v>
      </c>
      <c r="B158" s="7" t="s">
        <v>41</v>
      </c>
      <c r="C158" s="7" t="s">
        <v>46</v>
      </c>
      <c r="D158" s="7" t="s">
        <v>63</v>
      </c>
      <c r="E158" s="7" t="s">
        <v>38</v>
      </c>
      <c r="F158" s="7" t="s">
        <v>85</v>
      </c>
      <c r="G158" s="7">
        <v>2021</v>
      </c>
      <c r="H158" s="7" t="str">
        <f>CONCATENATE("14241437954")</f>
        <v>14241437954</v>
      </c>
      <c r="I158" s="7" t="s">
        <v>45</v>
      </c>
      <c r="J158" s="7" t="s">
        <v>31</v>
      </c>
      <c r="K158" s="7" t="str">
        <f>CONCATENATE("")</f>
        <v/>
      </c>
      <c r="L158" s="7" t="str">
        <f>CONCATENATE("14 14.1 3a")</f>
        <v>14 14.1 3a</v>
      </c>
      <c r="M158" s="7" t="str">
        <f>CONCATENATE("SPEMNL95C17B474Y")</f>
        <v>SPEMNL95C17B474Y</v>
      </c>
      <c r="N158" s="7" t="s">
        <v>247</v>
      </c>
      <c r="O158" s="7" t="s">
        <v>227</v>
      </c>
      <c r="P158" s="8">
        <v>44642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9">
        <v>2920</v>
      </c>
      <c r="W158" s="9">
        <v>1259.0999999999999</v>
      </c>
      <c r="X158" s="9">
        <v>1162.74</v>
      </c>
      <c r="Y158" s="7">
        <v>0</v>
      </c>
      <c r="Z158" s="7">
        <v>498.16</v>
      </c>
    </row>
    <row r="159" spans="1:26" x14ac:dyDescent="0.35">
      <c r="A159" s="7" t="s">
        <v>27</v>
      </c>
      <c r="B159" s="7" t="s">
        <v>41</v>
      </c>
      <c r="C159" s="7" t="s">
        <v>46</v>
      </c>
      <c r="D159" s="7" t="s">
        <v>63</v>
      </c>
      <c r="E159" s="7" t="s">
        <v>42</v>
      </c>
      <c r="F159" s="7" t="s">
        <v>248</v>
      </c>
      <c r="G159" s="7">
        <v>2021</v>
      </c>
      <c r="H159" s="7" t="str">
        <f>CONCATENATE("14240671942")</f>
        <v>14240671942</v>
      </c>
      <c r="I159" s="7" t="s">
        <v>45</v>
      </c>
      <c r="J159" s="7" t="s">
        <v>31</v>
      </c>
      <c r="K159" s="7" t="str">
        <f>CONCATENATE("")</f>
        <v/>
      </c>
      <c r="L159" s="7" t="str">
        <f>CONCATENATE("14 14.1 3a")</f>
        <v>14 14.1 3a</v>
      </c>
      <c r="M159" s="7" t="str">
        <f>CONCATENATE("VNNPRI71C70I436K")</f>
        <v>VNNPRI71C70I436K</v>
      </c>
      <c r="N159" s="7" t="s">
        <v>249</v>
      </c>
      <c r="O159" s="7" t="s">
        <v>227</v>
      </c>
      <c r="P159" s="8">
        <v>44642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5899.5</v>
      </c>
      <c r="W159" s="9">
        <v>2543.86</v>
      </c>
      <c r="X159" s="9">
        <v>2349.1799999999998</v>
      </c>
      <c r="Y159" s="7">
        <v>0</v>
      </c>
      <c r="Z159" s="9">
        <v>1006.46</v>
      </c>
    </row>
    <row r="160" spans="1:26" x14ac:dyDescent="0.35">
      <c r="A160" s="7" t="s">
        <v>27</v>
      </c>
      <c r="B160" s="7" t="s">
        <v>41</v>
      </c>
      <c r="C160" s="7" t="s">
        <v>46</v>
      </c>
      <c r="D160" s="7" t="s">
        <v>63</v>
      </c>
      <c r="E160" s="7" t="s">
        <v>38</v>
      </c>
      <c r="F160" s="7" t="s">
        <v>85</v>
      </c>
      <c r="G160" s="7">
        <v>2021</v>
      </c>
      <c r="H160" s="7" t="str">
        <f>CONCATENATE("14240883836")</f>
        <v>14240883836</v>
      </c>
      <c r="I160" s="7" t="s">
        <v>45</v>
      </c>
      <c r="J160" s="7" t="s">
        <v>31</v>
      </c>
      <c r="K160" s="7" t="str">
        <f>CONCATENATE("")</f>
        <v/>
      </c>
      <c r="L160" s="7" t="str">
        <f>CONCATENATE("14 14.1 3a")</f>
        <v>14 14.1 3a</v>
      </c>
      <c r="M160" s="7" t="str">
        <f>CONCATENATE("SBRLBR49L31B474W")</f>
        <v>SBRLBR49L31B474W</v>
      </c>
      <c r="N160" s="7" t="s">
        <v>250</v>
      </c>
      <c r="O160" s="7" t="s">
        <v>227</v>
      </c>
      <c r="P160" s="8">
        <v>44642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16351.4</v>
      </c>
      <c r="W160" s="9">
        <v>7050.72</v>
      </c>
      <c r="X160" s="9">
        <v>6511.13</v>
      </c>
      <c r="Y160" s="7">
        <v>0</v>
      </c>
      <c r="Z160" s="9">
        <v>2789.55</v>
      </c>
    </row>
    <row r="161" spans="1:26" x14ac:dyDescent="0.35">
      <c r="A161" s="7" t="s">
        <v>27</v>
      </c>
      <c r="B161" s="7" t="s">
        <v>41</v>
      </c>
      <c r="C161" s="7" t="s">
        <v>46</v>
      </c>
      <c r="D161" s="7" t="s">
        <v>63</v>
      </c>
      <c r="E161" s="7" t="s">
        <v>42</v>
      </c>
      <c r="F161" s="7" t="s">
        <v>241</v>
      </c>
      <c r="G161" s="7">
        <v>2021</v>
      </c>
      <c r="H161" s="7" t="str">
        <f>CONCATENATE("14240508771")</f>
        <v>14240508771</v>
      </c>
      <c r="I161" s="7" t="s">
        <v>45</v>
      </c>
      <c r="J161" s="7" t="s">
        <v>31</v>
      </c>
      <c r="K161" s="7" t="str">
        <f>CONCATENATE("")</f>
        <v/>
      </c>
      <c r="L161" s="7" t="str">
        <f>CONCATENATE("14 14.1 3a")</f>
        <v>14 14.1 3a</v>
      </c>
      <c r="M161" s="7" t="str">
        <f>CONCATENATE("01011100433")</f>
        <v>01011100433</v>
      </c>
      <c r="N161" s="7" t="s">
        <v>251</v>
      </c>
      <c r="O161" s="7" t="s">
        <v>227</v>
      </c>
      <c r="P161" s="8">
        <v>44642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13600</v>
      </c>
      <c r="W161" s="9">
        <v>5864.32</v>
      </c>
      <c r="X161" s="9">
        <v>5415.52</v>
      </c>
      <c r="Y161" s="7">
        <v>0</v>
      </c>
      <c r="Z161" s="9">
        <v>2320.16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41640</vt:lpwstr>
  </property>
  <property fmtid="{D5CDD505-2E9C-101B-9397-08002B2CF9AE}" pid="4" name="OptimizationTime">
    <vt:lpwstr>20220330_1708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2022-03-30T13:57:03Z</dcterms:created>
  <dcterms:modified xsi:type="dcterms:W3CDTF">2022-03-30T13:57:51Z</dcterms:modified>
</cp:coreProperties>
</file>