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9/"/>
    </mc:Choice>
  </mc:AlternateContent>
  <xr:revisionPtr revIDLastSave="0" documentId="8_{5C32BF35-F396-441D-B8E7-F0327213B5BC}" xr6:coauthVersionLast="46" xr6:coauthVersionMax="46" xr10:uidLastSave="{00000000-0000-0000-0000-000000000000}"/>
  <bookViews>
    <workbookView xWindow="-110" yWindow="-110" windowWidth="19420" windowHeight="10420" xr2:uid="{F738EB24-B12F-4A67-A820-84218ADAC7B0}"/>
  </bookViews>
  <sheets>
    <sheet name="Dettaglio_Domande_Pagabili_AGEA" sheetId="1" r:id="rId1"/>
  </sheets>
  <definedNames>
    <definedName name="_xlnm._FilterDatabase" localSheetId="0" hidden="1">Dettaglio_Domande_Pagabili_AGEA!$A$3:$Z$52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1" l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<sst xmlns="http://schemas.openxmlformats.org/spreadsheetml/2006/main" count="713" uniqueCount="134">
  <si>
    <t>Dettaglio Domande Pagabili Decreto 509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</si>
  <si>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</si>
  <si>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</si>
  <si>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</si>
  <si>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</si>
  <si>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</si>
  <si>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</si>
  <si>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</si>
  <si>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</si>
  <si>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</si>
  <si>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</si>
  <si>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</si>
  <si>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</si>
  <si>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</si>
  <si>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</si>
  <si>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</si>
  <si>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</si>
  <si>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</si>
  <si>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</si>
  <si>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</si>
  <si>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</si>
  <si>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</si>
  <si>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</si>
  <si>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</si>
  <si>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</si>
  <si>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</si>
  <si>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</si>
  <si>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</si>
  <si>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</si>
  <si>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</si>
  <si>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</si>
  <si>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</si>
  <si>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</si>
  <si>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</si>
  <si>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</si>
  <si>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</si>
  <si>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Misure a Superficie</t>
  </si>
  <si>
    <t>CAA Coldiretti srl</t>
  </si>
  <si>
    <t>CAA Confagricoltura srl</t>
  </si>
  <si>
    <t>CAA LiberiAgricoltori srl già CAA AGCI srl</t>
  </si>
  <si>
    <t>CAA CIA srl</t>
  </si>
  <si>
    <t>CAA-CAF AGRI S.R.L.</t>
  </si>
  <si>
    <t>CAA UNICAA srl</t>
  </si>
  <si>
    <t>SI</t>
  </si>
  <si>
    <t>Anticipo</t>
  </si>
  <si>
    <t>SAL</t>
  </si>
  <si>
    <t>Trascinamenti</t>
  </si>
  <si>
    <t>MARCHE</t>
  </si>
  <si>
    <t>COMUNE DI USSITA</t>
  </si>
  <si>
    <t>AGEA.ASR.2021.1902435</t>
  </si>
  <si>
    <t>SERV. DEC. AGRICOLTURA E ALIM. -ASCOLI PICENO</t>
  </si>
  <si>
    <t>COLTIVATORI ORTOFRUTTICOLI VALLI DELLE MARCHE SOCIETA' COOPERATI VA AG</t>
  </si>
  <si>
    <t>AGEA.ASR.2021.1904663</t>
  </si>
  <si>
    <t>CAA CAF AGRI - ASCOLI PICENO - 222</t>
  </si>
  <si>
    <t>SACCHI NAZZARENO</t>
  </si>
  <si>
    <t>AGEA.ASR.2021.1903141</t>
  </si>
  <si>
    <t>SERV. DEC. AGRICOLTURA E ALIMENTAZIONE - ANCONA</t>
  </si>
  <si>
    <t>CAA Coldiretti - ANCONA - 003</t>
  </si>
  <si>
    <t>FEDERICI PIERLUCA</t>
  </si>
  <si>
    <t>AGEA.ASR.2021.1541497</t>
  </si>
  <si>
    <t>SERV. DEC. AGRICOLTURA E ALIMENTAZIONE - PESARO</t>
  </si>
  <si>
    <t>CAA Coldiretti - PESARO E URBINO - 013</t>
  </si>
  <si>
    <t>PAOLONI SAJITH</t>
  </si>
  <si>
    <t>CAA CIA - ANCONA - 002</t>
  </si>
  <si>
    <t>TULLIO MARIKA</t>
  </si>
  <si>
    <t>CAA CIA - PESARO E URBINO - 006</t>
  </si>
  <si>
    <t>SANCHIONI ALESSANDRO</t>
  </si>
  <si>
    <t>CAA Coldiretti - PESARO E URBINO - 004</t>
  </si>
  <si>
    <t>GIOVAGNOLI STEFANO</t>
  </si>
  <si>
    <t>CAA Coldiretti - ANCONA - 006</t>
  </si>
  <si>
    <t>GUERRO LOREDANA</t>
  </si>
  <si>
    <t>LA SANTOREGGIA SOCIETA' AGRICOLA DI LATTANZI ELISA E MICHELE S.S.</t>
  </si>
  <si>
    <t>AGEA.ASR.2021.1906298</t>
  </si>
  <si>
    <t>AGEA.ASR.2021.1903169</t>
  </si>
  <si>
    <t>CAA Coldiretti - ANCONA - 002</t>
  </si>
  <si>
    <t>CICILIANI BASILIO</t>
  </si>
  <si>
    <t>CAA Coldiretti - PESARO E URBINO - 008</t>
  </si>
  <si>
    <t>NUCCI PAOLA LUCIANA</t>
  </si>
  <si>
    <t>CAA LiberiAgricoltori - PESARO E URBINO - 001</t>
  </si>
  <si>
    <t>SOCIETA' AGRICOLA F.LLI LONDEI S.S.</t>
  </si>
  <si>
    <t>CAA Confagricoltura - ANCONA - 001</t>
  </si>
  <si>
    <t>GRILLI GIULIA</t>
  </si>
  <si>
    <t>BONCI DEL BENE NICCOLO'</t>
  </si>
  <si>
    <t>MARCONI MICHELE</t>
  </si>
  <si>
    <t>TOMBOLINI FULVIA</t>
  </si>
  <si>
    <t>CAA LiberiAgricoltori - PESARO E URBINO - 002</t>
  </si>
  <si>
    <t>SOCIETA' AGRICOLA TERRA E SOLE BOSCARINI DI BOSCARINI EMANUELE &amp; C. -</t>
  </si>
  <si>
    <t>CERPOLINI ALICE</t>
  </si>
  <si>
    <t>AGEA.ASR.2021.1903129</t>
  </si>
  <si>
    <t>COOPERATIVA SOCIALE DI COMUNITA' LA MACINA TERRE ALTE ONLUS</t>
  </si>
  <si>
    <t>D.MODASTUDIO SNC DI ALEGI ROBERTA &amp; GIACOMELLI MELISSA</t>
  </si>
  <si>
    <t>DI LUCA DENIS</t>
  </si>
  <si>
    <t>ROSSI MARIA STELLA</t>
  </si>
  <si>
    <t>COMUNE DI ORCIANO DI PESARO</t>
  </si>
  <si>
    <t>AGEA.ASR.2021.1895618</t>
  </si>
  <si>
    <t>AGRARIA 1906 SNC DI PRETELLI FRANCESCO E DE ANGELI GIORGIA SOCIETA' AG</t>
  </si>
  <si>
    <t>AGEA.ASR.2021.1900771</t>
  </si>
  <si>
    <t>GASTREGHINI S.R.L.</t>
  </si>
  <si>
    <t>AGEA.ASR.2021.1904992</t>
  </si>
  <si>
    <t>MARCATO VANIA</t>
  </si>
  <si>
    <t>AGEA.ASR.2021.1902587</t>
  </si>
  <si>
    <t>MICHETTI SABRINA</t>
  </si>
  <si>
    <t>NICU ANASTASIA</t>
  </si>
  <si>
    <t>COMUNE DI SANT'ANGELO IN VADO</t>
  </si>
  <si>
    <t>AGEA.ASR.2021.1902597</t>
  </si>
  <si>
    <t>CONSORZIO MARCHE BIOLOGICHE SOC.COOP AGR</t>
  </si>
  <si>
    <t>AGEA.ASR.2021.1905966</t>
  </si>
  <si>
    <t>CAA CIA - ANCONA - 005</t>
  </si>
  <si>
    <t>TENUTA MATTEI SOC. AGRICOLA A R.L. IN LIQUIDAZIONE</t>
  </si>
  <si>
    <t>AGEA.ASR.2021.1907385</t>
  </si>
  <si>
    <t>CASALE DA' RO' SOCIETA' SEMPLICE AGRICOLA DI PACCUSSE ROBERTA E MARCHE</t>
  </si>
  <si>
    <t>SOCIETA' COOPERATIVA AGRICOLA MODERNA</t>
  </si>
  <si>
    <t>SERV. DEC. AGRICOLTURA E ALIM. - MACERATA</t>
  </si>
  <si>
    <t>UNIONE MONTANA POTENZA ESINO MUSONE</t>
  </si>
  <si>
    <t>AGEA.ASR.2021.1902635</t>
  </si>
  <si>
    <t>MARIANI LORENZO</t>
  </si>
  <si>
    <t>AGEA.ASR.2021.1905965</t>
  </si>
  <si>
    <t>COMUNE DI ALTIDONA</t>
  </si>
  <si>
    <t>AGEA.ASR.2021.1902609</t>
  </si>
  <si>
    <t>COMUNE DI MONTE VIDON CORRADO</t>
  </si>
  <si>
    <t>CAA Coldiretti - MACERATA - 009</t>
  </si>
  <si>
    <t>HORBATA MARIIA</t>
  </si>
  <si>
    <t>AGEA.ASR.2021.1899750</t>
  </si>
  <si>
    <t>AGRITURISMO LE QUATTRO STAGIONI - SOCIETA' AGRICOLA S.S.</t>
  </si>
  <si>
    <t>CAA UNICAA - MACERATA - 002</t>
  </si>
  <si>
    <t>MAZZIERI IVANO</t>
  </si>
  <si>
    <t>CAA LiberiAgricoltori - MACERATA - 003</t>
  </si>
  <si>
    <t>SEBASTIANI DAMIANO</t>
  </si>
  <si>
    <t>CAA LiberiAgricoltori - MACERATA - 001</t>
  </si>
  <si>
    <t>PONTONI ENZO</t>
  </si>
  <si>
    <t>CAA LiberiAgricoltori - MACERATA - 006</t>
  </si>
  <si>
    <t>MENGONI MARIA TERESA</t>
  </si>
  <si>
    <t>SOC. AGR. CHIARAMONI NAZARENO E PIO S.S.</t>
  </si>
  <si>
    <t>CIACCI GIORGINA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</si>
</sst>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BF86-3741-4308-A96D-5A7E034D4638}">
  <dimension ref="A1:Z52"/>
  <sheetViews>
    <sheetView showGridLines="0" tabSelected="1" workbookViewId="0">
      <selection activeCell="F56" sqref="F5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54296875" bestFit="1" customWidth="1"/>
    <col min="14" max="14" width="34.90625" customWidth="1"/>
    <col min="15" max="15" width="11.81640625" customWidth="1"/>
    <col min="16" max="16" width="14.453125" customWidth="1"/>
    <col min="17" max="17" width="10.26953125" customWidth="1"/>
    <col min="18" max="18" width="11.1796875" customWidth="1"/>
    <col min="19" max="19" width="12.81640625" customWidth="1"/>
    <col min="20" max="20" width="3.08984375" customWidth="1"/>
    <col min="21" max="21" width="16.08984375" customWidth="1"/>
    <col min="22" max="22" width="13.45312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47</v>
      </c>
      <c r="D4" s="7" t="s">
        <v>47</v>
      </c>
      <c r="E4" s="7" t="s">
        <v>29</v>
      </c>
      <c r="F4" s="7" t="s">
        <v>29</v>
      </c>
      <c r="G4" s="7">
        <v>2017</v>
      </c>
      <c r="H4" s="7" t="str">
        <f>CONCATENATE("14270356893")</f>
        <v>14270356893</v>
      </c>
      <c r="I4" s="7" t="s">
        <v>30</v>
      </c>
      <c r="J4" s="7" t="s">
        <v>31</v>
      </c>
      <c r="K4" s="7" t="str">
        <f>CONCATENATE("")</f>
        <v/>
      </c>
      <c r="L4" s="7" t="str">
        <f>CONCATENATE("19 19.2 6b")</f>
        <v>19 19.2 6b</v>
      </c>
      <c r="M4" s="7" t="str">
        <f>CONCATENATE("81001810431")</f>
        <v>81001810431</v>
      </c>
      <c r="N4" s="7" t="s">
        <v>48</v>
      </c>
      <c r="O4" s="7" t="s">
        <v>49</v>
      </c>
      <c r="P4" s="8">
        <v>44553</v>
      </c>
      <c r="Q4" s="7" t="s">
        <v>32</v>
      </c>
      <c r="R4" s="7" t="s">
        <v>44</v>
      </c>
      <c r="S4" s="7" t="s">
        <v>34</v>
      </c>
      <c r="T4" s="7"/>
      <c r="U4" s="7" t="s">
        <v>35</v>
      </c>
      <c r="V4" s="9">
        <v>84884.3</v>
      </c>
      <c r="W4" s="9">
        <v>36602.11</v>
      </c>
      <c r="X4" s="9">
        <v>33800.93</v>
      </c>
      <c r="Y4" s="7">
        <v>0</v>
      </c>
      <c r="Z4" s="9">
        <v>14481.26</v>
      </c>
    </row>
    <row r="5" spans="1:26" ht="17.5" x14ac:dyDescent="0.35">
      <c r="A5" s="7" t="s">
        <v>27</v>
      </c>
      <c r="B5" s="7" t="s">
        <v>28</v>
      </c>
      <c r="C5" s="7" t="s">
        <v>47</v>
      </c>
      <c r="D5" s="7" t="s">
        <v>50</v>
      </c>
      <c r="E5" s="7" t="s">
        <v>29</v>
      </c>
      <c r="F5" s="7" t="s">
        <v>29</v>
      </c>
      <c r="G5" s="7">
        <v>2017</v>
      </c>
      <c r="H5" s="7" t="str">
        <f>CONCATENATE("14270357925")</f>
        <v>14270357925</v>
      </c>
      <c r="I5" s="7" t="s">
        <v>30</v>
      </c>
      <c r="J5" s="7" t="s">
        <v>31</v>
      </c>
      <c r="K5" s="7" t="str">
        <f>CONCATENATE("")</f>
        <v/>
      </c>
      <c r="L5" s="7" t="str">
        <f>CONCATENATE("4 4.2 3a")</f>
        <v>4 4.2 3a</v>
      </c>
      <c r="M5" s="7" t="str">
        <f>CONCATENATE("01523300430")</f>
        <v>01523300430</v>
      </c>
      <c r="N5" s="7" t="s">
        <v>51</v>
      </c>
      <c r="O5" s="7" t="s">
        <v>52</v>
      </c>
      <c r="P5" s="8">
        <v>44557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3160715.83</v>
      </c>
      <c r="W5" s="9">
        <v>1362900.67</v>
      </c>
      <c r="X5" s="9">
        <v>1258597.04</v>
      </c>
      <c r="Y5" s="7">
        <v>0</v>
      </c>
      <c r="Z5" s="9">
        <v>539218.12</v>
      </c>
    </row>
    <row r="6" spans="1:26" x14ac:dyDescent="0.35">
      <c r="A6" s="7" t="s">
        <v>27</v>
      </c>
      <c r="B6" s="7" t="s">
        <v>28</v>
      </c>
      <c r="C6" s="7" t="s">
        <v>47</v>
      </c>
      <c r="D6" s="7" t="s">
        <v>50</v>
      </c>
      <c r="E6" s="7" t="s">
        <v>41</v>
      </c>
      <c r="F6" s="7" t="s">
        <v>53</v>
      </c>
      <c r="G6" s="7">
        <v>2017</v>
      </c>
      <c r="H6" s="7" t="str">
        <f>CONCATENATE("14270356844")</f>
        <v>14270356844</v>
      </c>
      <c r="I6" s="7" t="s">
        <v>30</v>
      </c>
      <c r="J6" s="7" t="s">
        <v>31</v>
      </c>
      <c r="K6" s="7" t="str">
        <f>CONCATENATE("")</f>
        <v/>
      </c>
      <c r="L6" s="7" t="str">
        <f>CONCATENATE("6 6.1 2b")</f>
        <v>6 6.1 2b</v>
      </c>
      <c r="M6" s="7" t="str">
        <f>CONCATENATE("SCCNZR81P07A252X")</f>
        <v>SCCNZR81P07A252X</v>
      </c>
      <c r="N6" s="7" t="s">
        <v>54</v>
      </c>
      <c r="O6" s="7" t="s">
        <v>55</v>
      </c>
      <c r="P6" s="8">
        <v>44553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15000</v>
      </c>
      <c r="W6" s="9">
        <v>6468</v>
      </c>
      <c r="X6" s="9">
        <v>5973</v>
      </c>
      <c r="Y6" s="7">
        <v>0</v>
      </c>
      <c r="Z6" s="9">
        <v>2559</v>
      </c>
    </row>
    <row r="7" spans="1:26" x14ac:dyDescent="0.35">
      <c r="A7" s="7" t="s">
        <v>27</v>
      </c>
      <c r="B7" s="7" t="s">
        <v>36</v>
      </c>
      <c r="C7" s="7" t="s">
        <v>47</v>
      </c>
      <c r="D7" s="7" t="s">
        <v>56</v>
      </c>
      <c r="E7" s="7" t="s">
        <v>37</v>
      </c>
      <c r="F7" s="7" t="s">
        <v>57</v>
      </c>
      <c r="G7" s="7">
        <v>2021</v>
      </c>
      <c r="H7" s="7" t="str">
        <f>CONCATENATE("14240258633")</f>
        <v>14240258633</v>
      </c>
      <c r="I7" s="7" t="s">
        <v>30</v>
      </c>
      <c r="J7" s="7" t="s">
        <v>31</v>
      </c>
      <c r="K7" s="7" t="str">
        <f>CONCATENATE("")</f>
        <v/>
      </c>
      <c r="L7" s="7" t="str">
        <f>CONCATENATE("11 11.2 4b")</f>
        <v>11 11.2 4b</v>
      </c>
      <c r="M7" s="7" t="str">
        <f>CONCATENATE("FDRPLC63R18A769F")</f>
        <v>FDRPLC63R18A769F</v>
      </c>
      <c r="N7" s="7" t="s">
        <v>58</v>
      </c>
      <c r="O7" s="7" t="s">
        <v>59</v>
      </c>
      <c r="P7" s="8">
        <v>44536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6818.02</v>
      </c>
      <c r="W7" s="9">
        <v>2939.93</v>
      </c>
      <c r="X7" s="9">
        <v>2714.94</v>
      </c>
      <c r="Y7" s="7">
        <v>0</v>
      </c>
      <c r="Z7" s="9">
        <v>1163.1500000000001</v>
      </c>
    </row>
    <row r="8" spans="1:26" x14ac:dyDescent="0.35">
      <c r="A8" s="7" t="s">
        <v>27</v>
      </c>
      <c r="B8" s="7" t="s">
        <v>36</v>
      </c>
      <c r="C8" s="7" t="s">
        <v>47</v>
      </c>
      <c r="D8" s="7" t="s">
        <v>60</v>
      </c>
      <c r="E8" s="7" t="s">
        <v>37</v>
      </c>
      <c r="F8" s="7" t="s">
        <v>61</v>
      </c>
      <c r="G8" s="7">
        <v>2021</v>
      </c>
      <c r="H8" s="7" t="str">
        <f>CONCATENATE("14240571100")</f>
        <v>14240571100</v>
      </c>
      <c r="I8" s="7" t="s">
        <v>30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CONCATENATE("PLNSTH97A27Z222C")</f>
        <v>PLNSTH97A27Z222C</v>
      </c>
      <c r="N8" s="7" t="s">
        <v>62</v>
      </c>
      <c r="O8" s="7" t="s">
        <v>59</v>
      </c>
      <c r="P8" s="8">
        <v>44536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7">
        <v>823.86</v>
      </c>
      <c r="W8" s="7">
        <v>355.25</v>
      </c>
      <c r="X8" s="7">
        <v>328.06</v>
      </c>
      <c r="Y8" s="7">
        <v>0</v>
      </c>
      <c r="Z8" s="7">
        <v>140.55000000000001</v>
      </c>
    </row>
    <row r="9" spans="1:26" x14ac:dyDescent="0.35">
      <c r="A9" s="7" t="s">
        <v>27</v>
      </c>
      <c r="B9" s="7" t="s">
        <v>36</v>
      </c>
      <c r="C9" s="7" t="s">
        <v>47</v>
      </c>
      <c r="D9" s="7" t="s">
        <v>56</v>
      </c>
      <c r="E9" s="7" t="s">
        <v>40</v>
      </c>
      <c r="F9" s="7" t="s">
        <v>63</v>
      </c>
      <c r="G9" s="7">
        <v>2021</v>
      </c>
      <c r="H9" s="7" t="str">
        <f>CONCATENATE("14240435124")</f>
        <v>14240435124</v>
      </c>
      <c r="I9" s="7" t="s">
        <v>30</v>
      </c>
      <c r="J9" s="7" t="s">
        <v>31</v>
      </c>
      <c r="K9" s="7" t="str">
        <f>CONCATENATE("")</f>
        <v/>
      </c>
      <c r="L9" s="7" t="str">
        <f>CONCATENATE("11 11.1 4b")</f>
        <v>11 11.1 4b</v>
      </c>
      <c r="M9" s="7" t="str">
        <f>CONCATENATE("TLLMRK96M56B519E")</f>
        <v>TLLMRK96M56B519E</v>
      </c>
      <c r="N9" s="7" t="s">
        <v>64</v>
      </c>
      <c r="O9" s="7" t="s">
        <v>59</v>
      </c>
      <c r="P9" s="8">
        <v>44536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2530.59</v>
      </c>
      <c r="W9" s="9">
        <v>1091.19</v>
      </c>
      <c r="X9" s="9">
        <v>1007.68</v>
      </c>
      <c r="Y9" s="7">
        <v>0</v>
      </c>
      <c r="Z9" s="7">
        <v>431.72</v>
      </c>
    </row>
    <row r="10" spans="1:26" x14ac:dyDescent="0.35">
      <c r="A10" s="7" t="s">
        <v>27</v>
      </c>
      <c r="B10" s="7" t="s">
        <v>36</v>
      </c>
      <c r="C10" s="7" t="s">
        <v>47</v>
      </c>
      <c r="D10" s="7" t="s">
        <v>56</v>
      </c>
      <c r="E10" s="7" t="s">
        <v>40</v>
      </c>
      <c r="F10" s="7" t="s">
        <v>63</v>
      </c>
      <c r="G10" s="7">
        <v>2021</v>
      </c>
      <c r="H10" s="7" t="str">
        <f>CONCATENATE("14240433921")</f>
        <v>14240433921</v>
      </c>
      <c r="I10" s="7" t="s">
        <v>30</v>
      </c>
      <c r="J10" s="7" t="s">
        <v>31</v>
      </c>
      <c r="K10" s="7" t="str">
        <f>CONCATENATE("")</f>
        <v/>
      </c>
      <c r="L10" s="7" t="str">
        <f>CONCATENATE("11 11.1 4b")</f>
        <v>11 11.1 4b</v>
      </c>
      <c r="M10" s="7" t="str">
        <f>CONCATENATE("TLLMRK96M56B519E")</f>
        <v>TLLMRK96M56B519E</v>
      </c>
      <c r="N10" s="7" t="s">
        <v>64</v>
      </c>
      <c r="O10" s="7" t="s">
        <v>59</v>
      </c>
      <c r="P10" s="8">
        <v>44536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4998.1499999999996</v>
      </c>
      <c r="W10" s="9">
        <v>2155.1999999999998</v>
      </c>
      <c r="X10" s="9">
        <v>1990.26</v>
      </c>
      <c r="Y10" s="7">
        <v>0</v>
      </c>
      <c r="Z10" s="7">
        <v>852.69</v>
      </c>
    </row>
    <row r="11" spans="1:26" x14ac:dyDescent="0.35">
      <c r="A11" s="7" t="s">
        <v>27</v>
      </c>
      <c r="B11" s="7" t="s">
        <v>36</v>
      </c>
      <c r="C11" s="7" t="s">
        <v>47</v>
      </c>
      <c r="D11" s="7" t="s">
        <v>60</v>
      </c>
      <c r="E11" s="7" t="s">
        <v>40</v>
      </c>
      <c r="F11" s="7" t="s">
        <v>65</v>
      </c>
      <c r="G11" s="7">
        <v>2021</v>
      </c>
      <c r="H11" s="7" t="str">
        <f>CONCATENATE("14240717562")</f>
        <v>14240717562</v>
      </c>
      <c r="I11" s="7" t="s">
        <v>30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CONCATENATE("SNCLSN69L29D488A")</f>
        <v>SNCLSN69L29D488A</v>
      </c>
      <c r="N11" s="7" t="s">
        <v>66</v>
      </c>
      <c r="O11" s="7" t="s">
        <v>59</v>
      </c>
      <c r="P11" s="8">
        <v>44536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2222.46</v>
      </c>
      <c r="W11" s="7">
        <v>958.32</v>
      </c>
      <c r="X11" s="7">
        <v>884.98</v>
      </c>
      <c r="Y11" s="7">
        <v>0</v>
      </c>
      <c r="Z11" s="7">
        <v>379.16</v>
      </c>
    </row>
    <row r="12" spans="1:26" x14ac:dyDescent="0.35">
      <c r="A12" s="7" t="s">
        <v>27</v>
      </c>
      <c r="B12" s="7" t="s">
        <v>36</v>
      </c>
      <c r="C12" s="7" t="s">
        <v>47</v>
      </c>
      <c r="D12" s="7" t="s">
        <v>60</v>
      </c>
      <c r="E12" s="7" t="s">
        <v>37</v>
      </c>
      <c r="F12" s="7" t="s">
        <v>67</v>
      </c>
      <c r="G12" s="7">
        <v>2021</v>
      </c>
      <c r="H12" s="7" t="str">
        <f>CONCATENATE("14240216144")</f>
        <v>14240216144</v>
      </c>
      <c r="I12" s="7" t="s">
        <v>30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CONCATENATE("GVGSFN62D18E785Z")</f>
        <v>GVGSFN62D18E785Z</v>
      </c>
      <c r="N12" s="7" t="s">
        <v>68</v>
      </c>
      <c r="O12" s="7" t="s">
        <v>59</v>
      </c>
      <c r="P12" s="8">
        <v>44536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11365.8</v>
      </c>
      <c r="W12" s="9">
        <v>4900.93</v>
      </c>
      <c r="X12" s="9">
        <v>4525.8599999999997</v>
      </c>
      <c r="Y12" s="7">
        <v>0</v>
      </c>
      <c r="Z12" s="9">
        <v>1939.01</v>
      </c>
    </row>
    <row r="13" spans="1:26" x14ac:dyDescent="0.35">
      <c r="A13" s="7" t="s">
        <v>27</v>
      </c>
      <c r="B13" s="7" t="s">
        <v>36</v>
      </c>
      <c r="C13" s="7" t="s">
        <v>47</v>
      </c>
      <c r="D13" s="7" t="s">
        <v>56</v>
      </c>
      <c r="E13" s="7" t="s">
        <v>37</v>
      </c>
      <c r="F13" s="7" t="s">
        <v>69</v>
      </c>
      <c r="G13" s="7">
        <v>2021</v>
      </c>
      <c r="H13" s="7" t="str">
        <f>CONCATENATE("14240127481")</f>
        <v>14240127481</v>
      </c>
      <c r="I13" s="7" t="s">
        <v>30</v>
      </c>
      <c r="J13" s="7" t="s">
        <v>31</v>
      </c>
      <c r="K13" s="7" t="str">
        <f>CONCATENATE("")</f>
        <v/>
      </c>
      <c r="L13" s="7" t="str">
        <f>CONCATENATE("11 11.2 4b")</f>
        <v>11 11.2 4b</v>
      </c>
      <c r="M13" s="7" t="str">
        <f>CONCATENATE("GRRLDN60C45E388Q")</f>
        <v>GRRLDN60C45E388Q</v>
      </c>
      <c r="N13" s="7" t="s">
        <v>70</v>
      </c>
      <c r="O13" s="7" t="s">
        <v>59</v>
      </c>
      <c r="P13" s="8">
        <v>44536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7">
        <v>799.34</v>
      </c>
      <c r="W13" s="7">
        <v>344.68</v>
      </c>
      <c r="X13" s="7">
        <v>318.3</v>
      </c>
      <c r="Y13" s="7">
        <v>0</v>
      </c>
      <c r="Z13" s="7">
        <v>136.36000000000001</v>
      </c>
    </row>
    <row r="14" spans="1:26" x14ac:dyDescent="0.35">
      <c r="A14" s="7" t="s">
        <v>27</v>
      </c>
      <c r="B14" s="7" t="s">
        <v>28</v>
      </c>
      <c r="C14" s="7" t="s">
        <v>47</v>
      </c>
      <c r="D14" s="7" t="s">
        <v>56</v>
      </c>
      <c r="E14" s="7" t="s">
        <v>29</v>
      </c>
      <c r="F14" s="7" t="s">
        <v>29</v>
      </c>
      <c r="G14" s="7">
        <v>2017</v>
      </c>
      <c r="H14" s="7" t="str">
        <f>CONCATENATE("14270358188")</f>
        <v>14270358188</v>
      </c>
      <c r="I14" s="7" t="s">
        <v>43</v>
      </c>
      <c r="J14" s="7" t="s">
        <v>31</v>
      </c>
      <c r="K14" s="7" t="str">
        <f>CONCATENATE("")</f>
        <v/>
      </c>
      <c r="L14" s="7" t="str">
        <f>CONCATENATE("6 6.4 2a")</f>
        <v>6 6.4 2a</v>
      </c>
      <c r="M14" s="7" t="str">
        <f>CONCATENATE("02627340421")</f>
        <v>02627340421</v>
      </c>
      <c r="N14" s="7" t="s">
        <v>71</v>
      </c>
      <c r="O14" s="7" t="s">
        <v>72</v>
      </c>
      <c r="P14" s="8">
        <v>44557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197525.16</v>
      </c>
      <c r="W14" s="9">
        <v>85172.85</v>
      </c>
      <c r="X14" s="9">
        <v>78654.52</v>
      </c>
      <c r="Y14" s="7">
        <v>0</v>
      </c>
      <c r="Z14" s="9">
        <v>33697.79</v>
      </c>
    </row>
    <row r="15" spans="1:26" x14ac:dyDescent="0.35">
      <c r="A15" s="7" t="s">
        <v>27</v>
      </c>
      <c r="B15" s="7" t="s">
        <v>28</v>
      </c>
      <c r="C15" s="7" t="s">
        <v>47</v>
      </c>
      <c r="D15" s="7" t="s">
        <v>50</v>
      </c>
      <c r="E15" s="7" t="s">
        <v>41</v>
      </c>
      <c r="F15" s="7" t="s">
        <v>53</v>
      </c>
      <c r="G15" s="7">
        <v>2017</v>
      </c>
      <c r="H15" s="7" t="str">
        <f>CONCATENATE("14270356851")</f>
        <v>14270356851</v>
      </c>
      <c r="I15" s="7" t="s">
        <v>30</v>
      </c>
      <c r="J15" s="7" t="s">
        <v>31</v>
      </c>
      <c r="K15" s="7" t="str">
        <f>CONCATENATE("")</f>
        <v/>
      </c>
      <c r="L15" s="7" t="str">
        <f>CONCATENATE("4 4.1 2a")</f>
        <v>4 4.1 2a</v>
      </c>
      <c r="M15" s="7" t="str">
        <f>CONCATENATE("SCCNZR81P07A252X")</f>
        <v>SCCNZR81P07A252X</v>
      </c>
      <c r="N15" s="7" t="s">
        <v>54</v>
      </c>
      <c r="O15" s="7" t="s">
        <v>73</v>
      </c>
      <c r="P15" s="8">
        <v>44553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39576.68</v>
      </c>
      <c r="W15" s="9">
        <v>17065.46</v>
      </c>
      <c r="X15" s="9">
        <v>15759.43</v>
      </c>
      <c r="Y15" s="7">
        <v>0</v>
      </c>
      <c r="Z15" s="9">
        <v>6751.79</v>
      </c>
    </row>
    <row r="16" spans="1:26" x14ac:dyDescent="0.35">
      <c r="A16" s="7" t="s">
        <v>27</v>
      </c>
      <c r="B16" s="7" t="s">
        <v>36</v>
      </c>
      <c r="C16" s="7" t="s">
        <v>47</v>
      </c>
      <c r="D16" s="7" t="s">
        <v>56</v>
      </c>
      <c r="E16" s="7" t="s">
        <v>37</v>
      </c>
      <c r="F16" s="7" t="s">
        <v>74</v>
      </c>
      <c r="G16" s="7">
        <v>2016</v>
      </c>
      <c r="H16" s="7" t="str">
        <f>CONCATENATE("64240249926")</f>
        <v>64240249926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CONCATENATE("CCLBSL62E04I608I")</f>
        <v>CCLBSL62E04I608I</v>
      </c>
      <c r="N16" s="7" t="s">
        <v>75</v>
      </c>
      <c r="O16" s="7" t="s">
        <v>59</v>
      </c>
      <c r="P16" s="8">
        <v>44536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1809.74</v>
      </c>
      <c r="W16" s="7">
        <v>780.36</v>
      </c>
      <c r="X16" s="7">
        <v>720.64</v>
      </c>
      <c r="Y16" s="7">
        <v>0</v>
      </c>
      <c r="Z16" s="7">
        <v>308.74</v>
      </c>
    </row>
    <row r="17" spans="1:26" x14ac:dyDescent="0.35">
      <c r="A17" s="7" t="s">
        <v>27</v>
      </c>
      <c r="B17" s="7" t="s">
        <v>36</v>
      </c>
      <c r="C17" s="7" t="s">
        <v>47</v>
      </c>
      <c r="D17" s="7" t="s">
        <v>60</v>
      </c>
      <c r="E17" s="7" t="s">
        <v>37</v>
      </c>
      <c r="F17" s="7" t="s">
        <v>76</v>
      </c>
      <c r="G17" s="7">
        <v>2021</v>
      </c>
      <c r="H17" s="7" t="str">
        <f>CONCATENATE("14240725102")</f>
        <v>14240725102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11.2 4b")</f>
        <v>11 11.2 4b</v>
      </c>
      <c r="M17" s="7" t="str">
        <f>CONCATENATE("NCCPLC57M56F450W")</f>
        <v>NCCPLC57M56F450W</v>
      </c>
      <c r="N17" s="7" t="s">
        <v>77</v>
      </c>
      <c r="O17" s="7" t="s">
        <v>59</v>
      </c>
      <c r="P17" s="8">
        <v>44536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4387.22</v>
      </c>
      <c r="W17" s="9">
        <v>1891.77</v>
      </c>
      <c r="X17" s="9">
        <v>1746.99</v>
      </c>
      <c r="Y17" s="7">
        <v>0</v>
      </c>
      <c r="Z17" s="7">
        <v>748.46</v>
      </c>
    </row>
    <row r="18" spans="1:26" x14ac:dyDescent="0.35">
      <c r="A18" s="7" t="s">
        <v>27</v>
      </c>
      <c r="B18" s="7" t="s">
        <v>36</v>
      </c>
      <c r="C18" s="7" t="s">
        <v>47</v>
      </c>
      <c r="D18" s="7" t="s">
        <v>60</v>
      </c>
      <c r="E18" s="7" t="s">
        <v>39</v>
      </c>
      <c r="F18" s="7" t="s">
        <v>78</v>
      </c>
      <c r="G18" s="7">
        <v>2021</v>
      </c>
      <c r="H18" s="7" t="str">
        <f>CONCATENATE("14240819715")</f>
        <v>14240819715</v>
      </c>
      <c r="I18" s="7" t="s">
        <v>30</v>
      </c>
      <c r="J18" s="7" t="s">
        <v>31</v>
      </c>
      <c r="K18" s="7" t="str">
        <f>CONCATENATE("")</f>
        <v/>
      </c>
      <c r="L18" s="7" t="str">
        <f>CONCATENATE("11 11.2 4b")</f>
        <v>11 11.2 4b</v>
      </c>
      <c r="M18" s="7" t="str">
        <f>CONCATENATE("01065340414")</f>
        <v>01065340414</v>
      </c>
      <c r="N18" s="7" t="s">
        <v>79</v>
      </c>
      <c r="O18" s="7" t="s">
        <v>59</v>
      </c>
      <c r="P18" s="8">
        <v>44536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19743.189999999999</v>
      </c>
      <c r="W18" s="9">
        <v>8513.26</v>
      </c>
      <c r="X18" s="9">
        <v>7861.74</v>
      </c>
      <c r="Y18" s="7">
        <v>0</v>
      </c>
      <c r="Z18" s="9">
        <v>3368.19</v>
      </c>
    </row>
    <row r="19" spans="1:26" x14ac:dyDescent="0.35">
      <c r="A19" s="7" t="s">
        <v>27</v>
      </c>
      <c r="B19" s="7" t="s">
        <v>36</v>
      </c>
      <c r="C19" s="7" t="s">
        <v>47</v>
      </c>
      <c r="D19" s="7" t="s">
        <v>56</v>
      </c>
      <c r="E19" s="7" t="s">
        <v>38</v>
      </c>
      <c r="F19" s="7" t="s">
        <v>80</v>
      </c>
      <c r="G19" s="7">
        <v>2021</v>
      </c>
      <c r="H19" s="7" t="str">
        <f>CONCATENATE("14240798992")</f>
        <v>14240798992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CONCATENATE("GRLGLI88M42E388Q")</f>
        <v>GRLGLI88M42E388Q</v>
      </c>
      <c r="N19" s="7" t="s">
        <v>81</v>
      </c>
      <c r="O19" s="7" t="s">
        <v>59</v>
      </c>
      <c r="P19" s="8">
        <v>44536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2575.1</v>
      </c>
      <c r="W19" s="9">
        <v>1110.3800000000001</v>
      </c>
      <c r="X19" s="9">
        <v>1025.4000000000001</v>
      </c>
      <c r="Y19" s="7">
        <v>0</v>
      </c>
      <c r="Z19" s="7">
        <v>439.32</v>
      </c>
    </row>
    <row r="20" spans="1:26" x14ac:dyDescent="0.35">
      <c r="A20" s="7" t="s">
        <v>27</v>
      </c>
      <c r="B20" s="7" t="s">
        <v>36</v>
      </c>
      <c r="C20" s="7" t="s">
        <v>47</v>
      </c>
      <c r="D20" s="7" t="s">
        <v>60</v>
      </c>
      <c r="E20" s="7" t="s">
        <v>40</v>
      </c>
      <c r="F20" s="7" t="s">
        <v>65</v>
      </c>
      <c r="G20" s="7">
        <v>2021</v>
      </c>
      <c r="H20" s="7" t="str">
        <f>CONCATENATE("14240747866")</f>
        <v>14240747866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CONCATENATE("BNCNCL78B20D488K")</f>
        <v>BNCNCL78B20D488K</v>
      </c>
      <c r="N20" s="7" t="s">
        <v>82</v>
      </c>
      <c r="O20" s="7" t="s">
        <v>59</v>
      </c>
      <c r="P20" s="8">
        <v>44536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1230.55</v>
      </c>
      <c r="W20" s="7">
        <v>530.61</v>
      </c>
      <c r="X20" s="7">
        <v>490.01</v>
      </c>
      <c r="Y20" s="7">
        <v>0</v>
      </c>
      <c r="Z20" s="7">
        <v>209.93</v>
      </c>
    </row>
    <row r="21" spans="1:26" x14ac:dyDescent="0.35">
      <c r="A21" s="7" t="s">
        <v>27</v>
      </c>
      <c r="B21" s="7" t="s">
        <v>36</v>
      </c>
      <c r="C21" s="7" t="s">
        <v>47</v>
      </c>
      <c r="D21" s="7" t="s">
        <v>56</v>
      </c>
      <c r="E21" s="7" t="s">
        <v>40</v>
      </c>
      <c r="F21" s="7" t="s">
        <v>63</v>
      </c>
      <c r="G21" s="7">
        <v>2021</v>
      </c>
      <c r="H21" s="7" t="str">
        <f>CONCATENATE("14240755380")</f>
        <v>14240755380</v>
      </c>
      <c r="I21" s="7" t="s">
        <v>30</v>
      </c>
      <c r="J21" s="7" t="s">
        <v>31</v>
      </c>
      <c r="K21" s="7" t="str">
        <f>CONCATENATE("")</f>
        <v/>
      </c>
      <c r="L21" s="7" t="str">
        <f>CONCATENATE("11 11.1 4b")</f>
        <v>11 11.1 4b</v>
      </c>
      <c r="M21" s="7" t="str">
        <f>CONCATENATE("MRCMHL92B25E388A")</f>
        <v>MRCMHL92B25E388A</v>
      </c>
      <c r="N21" s="7" t="s">
        <v>83</v>
      </c>
      <c r="O21" s="7" t="s">
        <v>59</v>
      </c>
      <c r="P21" s="8">
        <v>44536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6445.64</v>
      </c>
      <c r="W21" s="9">
        <v>2779.36</v>
      </c>
      <c r="X21" s="9">
        <v>2566.65</v>
      </c>
      <c r="Y21" s="7">
        <v>0</v>
      </c>
      <c r="Z21" s="9">
        <v>1099.6300000000001</v>
      </c>
    </row>
    <row r="22" spans="1:26" x14ac:dyDescent="0.35">
      <c r="A22" s="7" t="s">
        <v>27</v>
      </c>
      <c r="B22" s="7" t="s">
        <v>36</v>
      </c>
      <c r="C22" s="7" t="s">
        <v>47</v>
      </c>
      <c r="D22" s="7" t="s">
        <v>56</v>
      </c>
      <c r="E22" s="7" t="s">
        <v>37</v>
      </c>
      <c r="F22" s="7" t="s">
        <v>69</v>
      </c>
      <c r="G22" s="7">
        <v>2021</v>
      </c>
      <c r="H22" s="7" t="str">
        <f>CONCATENATE("14240293903")</f>
        <v>14240293903</v>
      </c>
      <c r="I22" s="7" t="s">
        <v>30</v>
      </c>
      <c r="J22" s="7" t="s">
        <v>31</v>
      </c>
      <c r="K22" s="7" t="str">
        <f>CONCATENATE("")</f>
        <v/>
      </c>
      <c r="L22" s="7" t="str">
        <f>CONCATENATE("11 11.1 4b")</f>
        <v>11 11.1 4b</v>
      </c>
      <c r="M22" s="7" t="str">
        <f>CONCATENATE("TMBFLV56A44E690O")</f>
        <v>TMBFLV56A44E690O</v>
      </c>
      <c r="N22" s="7" t="s">
        <v>84</v>
      </c>
      <c r="O22" s="7" t="s">
        <v>59</v>
      </c>
      <c r="P22" s="8">
        <v>44536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6860.96</v>
      </c>
      <c r="W22" s="9">
        <v>2958.45</v>
      </c>
      <c r="X22" s="9">
        <v>2732.03</v>
      </c>
      <c r="Y22" s="7">
        <v>0</v>
      </c>
      <c r="Z22" s="9">
        <v>1170.48</v>
      </c>
    </row>
    <row r="23" spans="1:26" ht="17.5" x14ac:dyDescent="0.35">
      <c r="A23" s="7" t="s">
        <v>27</v>
      </c>
      <c r="B23" s="7" t="s">
        <v>36</v>
      </c>
      <c r="C23" s="7" t="s">
        <v>47</v>
      </c>
      <c r="D23" s="7" t="s">
        <v>60</v>
      </c>
      <c r="E23" s="7" t="s">
        <v>39</v>
      </c>
      <c r="F23" s="7" t="s">
        <v>85</v>
      </c>
      <c r="G23" s="7">
        <v>2021</v>
      </c>
      <c r="H23" s="7" t="str">
        <f>CONCATENATE("14240727629")</f>
        <v>14240727629</v>
      </c>
      <c r="I23" s="7" t="s">
        <v>30</v>
      </c>
      <c r="J23" s="7" t="s">
        <v>31</v>
      </c>
      <c r="K23" s="7" t="str">
        <f>CONCATENATE("")</f>
        <v/>
      </c>
      <c r="L23" s="7" t="str">
        <f>CONCATENATE("11 11.1 4b")</f>
        <v>11 11.1 4b</v>
      </c>
      <c r="M23" s="7" t="str">
        <f>CONCATENATE("02615600414")</f>
        <v>02615600414</v>
      </c>
      <c r="N23" s="7" t="s">
        <v>86</v>
      </c>
      <c r="O23" s="7" t="s">
        <v>59</v>
      </c>
      <c r="P23" s="8">
        <v>44536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37487.49</v>
      </c>
      <c r="W23" s="9">
        <v>16164.61</v>
      </c>
      <c r="X23" s="9">
        <v>14927.52</v>
      </c>
      <c r="Y23" s="7">
        <v>0</v>
      </c>
      <c r="Z23" s="9">
        <v>6395.36</v>
      </c>
    </row>
    <row r="24" spans="1:26" x14ac:dyDescent="0.35">
      <c r="A24" s="7" t="s">
        <v>27</v>
      </c>
      <c r="B24" s="7" t="s">
        <v>28</v>
      </c>
      <c r="C24" s="7" t="s">
        <v>47</v>
      </c>
      <c r="D24" s="7" t="s">
        <v>47</v>
      </c>
      <c r="E24" s="7" t="s">
        <v>29</v>
      </c>
      <c r="F24" s="7" t="s">
        <v>29</v>
      </c>
      <c r="G24" s="7">
        <v>2017</v>
      </c>
      <c r="H24" s="7" t="str">
        <f>CONCATENATE("14270356950")</f>
        <v>14270356950</v>
      </c>
      <c r="I24" s="7" t="s">
        <v>30</v>
      </c>
      <c r="J24" s="7" t="s">
        <v>31</v>
      </c>
      <c r="K24" s="7" t="str">
        <f>CONCATENATE("")</f>
        <v/>
      </c>
      <c r="L24" s="7" t="str">
        <f>CONCATENATE("19 19.2 6b")</f>
        <v>19 19.2 6b</v>
      </c>
      <c r="M24" s="7" t="str">
        <f>CONCATENATE("CRPLCA88A44L500D")</f>
        <v>CRPLCA88A44L500D</v>
      </c>
      <c r="N24" s="7" t="s">
        <v>87</v>
      </c>
      <c r="O24" s="7" t="s">
        <v>88</v>
      </c>
      <c r="P24" s="8">
        <v>44553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15000</v>
      </c>
      <c r="W24" s="9">
        <v>6468</v>
      </c>
      <c r="X24" s="9">
        <v>5973</v>
      </c>
      <c r="Y24" s="7">
        <v>0</v>
      </c>
      <c r="Z24" s="9">
        <v>2559</v>
      </c>
    </row>
    <row r="25" spans="1:26" x14ac:dyDescent="0.35">
      <c r="A25" s="7" t="s">
        <v>27</v>
      </c>
      <c r="B25" s="7" t="s">
        <v>28</v>
      </c>
      <c r="C25" s="7" t="s">
        <v>47</v>
      </c>
      <c r="D25" s="7" t="s">
        <v>47</v>
      </c>
      <c r="E25" s="7" t="s">
        <v>29</v>
      </c>
      <c r="F25" s="7" t="s">
        <v>29</v>
      </c>
      <c r="G25" s="7">
        <v>2017</v>
      </c>
      <c r="H25" s="7" t="str">
        <f>CONCATENATE("14270357271")</f>
        <v>14270357271</v>
      </c>
      <c r="I25" s="7" t="s">
        <v>30</v>
      </c>
      <c r="J25" s="7" t="s">
        <v>31</v>
      </c>
      <c r="K25" s="7" t="str">
        <f>CONCATENATE("")</f>
        <v/>
      </c>
      <c r="L25" s="7" t="str">
        <f>CONCATENATE("19 19.2 6b")</f>
        <v>19 19.2 6b</v>
      </c>
      <c r="M25" s="7" t="str">
        <f>CONCATENATE("02228420416")</f>
        <v>02228420416</v>
      </c>
      <c r="N25" s="7" t="s">
        <v>89</v>
      </c>
      <c r="O25" s="7" t="s">
        <v>88</v>
      </c>
      <c r="P25" s="8">
        <v>44553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15000</v>
      </c>
      <c r="W25" s="9">
        <v>6468</v>
      </c>
      <c r="X25" s="9">
        <v>5973</v>
      </c>
      <c r="Y25" s="7">
        <v>0</v>
      </c>
      <c r="Z25" s="9">
        <v>2559</v>
      </c>
    </row>
    <row r="26" spans="1:26" x14ac:dyDescent="0.35">
      <c r="A26" s="7" t="s">
        <v>27</v>
      </c>
      <c r="B26" s="7" t="s">
        <v>28</v>
      </c>
      <c r="C26" s="7" t="s">
        <v>47</v>
      </c>
      <c r="D26" s="7" t="s">
        <v>47</v>
      </c>
      <c r="E26" s="7" t="s">
        <v>29</v>
      </c>
      <c r="F26" s="7" t="s">
        <v>29</v>
      </c>
      <c r="G26" s="7">
        <v>2017</v>
      </c>
      <c r="H26" s="7" t="str">
        <f>CONCATENATE("14270356943")</f>
        <v>14270356943</v>
      </c>
      <c r="I26" s="7" t="s">
        <v>30</v>
      </c>
      <c r="J26" s="7" t="s">
        <v>31</v>
      </c>
      <c r="K26" s="7" t="str">
        <f>CONCATENATE("")</f>
        <v/>
      </c>
      <c r="L26" s="7" t="str">
        <f>CONCATENATE("19 19.2 6b")</f>
        <v>19 19.2 6b</v>
      </c>
      <c r="M26" s="7" t="str">
        <f>CONCATENATE("02136800410")</f>
        <v>02136800410</v>
      </c>
      <c r="N26" s="7" t="s">
        <v>90</v>
      </c>
      <c r="O26" s="7" t="s">
        <v>88</v>
      </c>
      <c r="P26" s="8">
        <v>44553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15000</v>
      </c>
      <c r="W26" s="9">
        <v>6468</v>
      </c>
      <c r="X26" s="9">
        <v>5973</v>
      </c>
      <c r="Y26" s="7">
        <v>0</v>
      </c>
      <c r="Z26" s="9">
        <v>2559</v>
      </c>
    </row>
    <row r="27" spans="1:26" x14ac:dyDescent="0.35">
      <c r="A27" s="7" t="s">
        <v>27</v>
      </c>
      <c r="B27" s="7" t="s">
        <v>28</v>
      </c>
      <c r="C27" s="7" t="s">
        <v>47</v>
      </c>
      <c r="D27" s="7" t="s">
        <v>47</v>
      </c>
      <c r="E27" s="7" t="s">
        <v>29</v>
      </c>
      <c r="F27" s="7" t="s">
        <v>29</v>
      </c>
      <c r="G27" s="7">
        <v>2017</v>
      </c>
      <c r="H27" s="7" t="str">
        <f>CONCATENATE("14270356935")</f>
        <v>14270356935</v>
      </c>
      <c r="I27" s="7" t="s">
        <v>30</v>
      </c>
      <c r="J27" s="7" t="s">
        <v>31</v>
      </c>
      <c r="K27" s="7" t="str">
        <f>CONCATENATE("")</f>
        <v/>
      </c>
      <c r="L27" s="7" t="str">
        <f>CONCATENATE("19 19.2 6b")</f>
        <v>19 19.2 6b</v>
      </c>
      <c r="M27" s="7" t="str">
        <f>CONCATENATE("DLCDNS89H08L500X")</f>
        <v>DLCDNS89H08L500X</v>
      </c>
      <c r="N27" s="7" t="s">
        <v>91</v>
      </c>
      <c r="O27" s="7" t="s">
        <v>88</v>
      </c>
      <c r="P27" s="8">
        <v>44553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15000</v>
      </c>
      <c r="W27" s="9">
        <v>6468</v>
      </c>
      <c r="X27" s="9">
        <v>5973</v>
      </c>
      <c r="Y27" s="7">
        <v>0</v>
      </c>
      <c r="Z27" s="9">
        <v>2559</v>
      </c>
    </row>
    <row r="28" spans="1:26" x14ac:dyDescent="0.35">
      <c r="A28" s="7" t="s">
        <v>27</v>
      </c>
      <c r="B28" s="7" t="s">
        <v>28</v>
      </c>
      <c r="C28" s="7" t="s">
        <v>47</v>
      </c>
      <c r="D28" s="7" t="s">
        <v>47</v>
      </c>
      <c r="E28" s="7" t="s">
        <v>29</v>
      </c>
      <c r="F28" s="7" t="s">
        <v>29</v>
      </c>
      <c r="G28" s="7">
        <v>2017</v>
      </c>
      <c r="H28" s="7" t="str">
        <f>CONCATENATE("14270356976")</f>
        <v>14270356976</v>
      </c>
      <c r="I28" s="7" t="s">
        <v>30</v>
      </c>
      <c r="J28" s="7" t="s">
        <v>31</v>
      </c>
      <c r="K28" s="7" t="str">
        <f>CONCATENATE("")</f>
        <v/>
      </c>
      <c r="L28" s="7" t="str">
        <f>CONCATENATE("19 19.2 6b")</f>
        <v>19 19.2 6b</v>
      </c>
      <c r="M28" s="7" t="str">
        <f>CONCATENATE("RSSMST82M50D488J")</f>
        <v>RSSMST82M50D488J</v>
      </c>
      <c r="N28" s="7" t="s">
        <v>92</v>
      </c>
      <c r="O28" s="7" t="s">
        <v>88</v>
      </c>
      <c r="P28" s="8">
        <v>44553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15000</v>
      </c>
      <c r="W28" s="9">
        <v>6468</v>
      </c>
      <c r="X28" s="9">
        <v>5973</v>
      </c>
      <c r="Y28" s="7">
        <v>0</v>
      </c>
      <c r="Z28" s="9">
        <v>2559</v>
      </c>
    </row>
    <row r="29" spans="1:26" x14ac:dyDescent="0.35">
      <c r="A29" s="7" t="s">
        <v>27</v>
      </c>
      <c r="B29" s="7" t="s">
        <v>28</v>
      </c>
      <c r="C29" s="7" t="s">
        <v>47</v>
      </c>
      <c r="D29" s="7" t="s">
        <v>60</v>
      </c>
      <c r="E29" s="7" t="s">
        <v>29</v>
      </c>
      <c r="F29" s="7" t="s">
        <v>29</v>
      </c>
      <c r="G29" s="7">
        <v>2008</v>
      </c>
      <c r="H29" s="7" t="str">
        <f>CONCATENATE("84758352078")</f>
        <v>84758352078</v>
      </c>
      <c r="I29" s="7" t="s">
        <v>30</v>
      </c>
      <c r="J29" s="7" t="s">
        <v>46</v>
      </c>
      <c r="K29" s="7" t="str">
        <f>CONCATENATE("413")</f>
        <v>413</v>
      </c>
      <c r="L29" s="7" t="str">
        <f>CONCATENATE("19 19.2 6b")</f>
        <v>19 19.2 6b</v>
      </c>
      <c r="M29" s="7" t="str">
        <f>CONCATENATE("81001710417")</f>
        <v>81001710417</v>
      </c>
      <c r="N29" s="7" t="s">
        <v>93</v>
      </c>
      <c r="O29" s="7" t="s">
        <v>94</v>
      </c>
      <c r="P29" s="8">
        <v>44554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55412.92</v>
      </c>
      <c r="W29" s="9">
        <v>23894.05</v>
      </c>
      <c r="X29" s="9">
        <v>22065.42</v>
      </c>
      <c r="Y29" s="7">
        <v>0</v>
      </c>
      <c r="Z29" s="9">
        <v>9453.4500000000007</v>
      </c>
    </row>
    <row r="30" spans="1:26" ht="17.5" x14ac:dyDescent="0.35">
      <c r="A30" s="7" t="s">
        <v>27</v>
      </c>
      <c r="B30" s="7" t="s">
        <v>36</v>
      </c>
      <c r="C30" s="7" t="s">
        <v>47</v>
      </c>
      <c r="D30" s="7" t="s">
        <v>60</v>
      </c>
      <c r="E30" s="7" t="s">
        <v>39</v>
      </c>
      <c r="F30" s="7" t="s">
        <v>78</v>
      </c>
      <c r="G30" s="7">
        <v>2021</v>
      </c>
      <c r="H30" s="7" t="str">
        <f>CONCATENATE("14240299074")</f>
        <v>14240299074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CONCATENATE("02707760415")</f>
        <v>02707760415</v>
      </c>
      <c r="N30" s="7" t="s">
        <v>95</v>
      </c>
      <c r="O30" s="7" t="s">
        <v>96</v>
      </c>
      <c r="P30" s="8">
        <v>44553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3815.58</v>
      </c>
      <c r="W30" s="9">
        <v>1645.28</v>
      </c>
      <c r="X30" s="9">
        <v>1519.36</v>
      </c>
      <c r="Y30" s="7">
        <v>0</v>
      </c>
      <c r="Z30" s="7">
        <v>650.94000000000005</v>
      </c>
    </row>
    <row r="31" spans="1:26" x14ac:dyDescent="0.35">
      <c r="A31" s="7" t="s">
        <v>27</v>
      </c>
      <c r="B31" s="7" t="s">
        <v>28</v>
      </c>
      <c r="C31" s="7" t="s">
        <v>47</v>
      </c>
      <c r="D31" s="7" t="s">
        <v>56</v>
      </c>
      <c r="E31" s="7" t="s">
        <v>29</v>
      </c>
      <c r="F31" s="7" t="s">
        <v>29</v>
      </c>
      <c r="G31" s="7">
        <v>2017</v>
      </c>
      <c r="H31" s="7" t="str">
        <f>CONCATENATE("14270357958")</f>
        <v>14270357958</v>
      </c>
      <c r="I31" s="7" t="s">
        <v>30</v>
      </c>
      <c r="J31" s="7" t="s">
        <v>31</v>
      </c>
      <c r="K31" s="7" t="str">
        <f>CONCATENATE("")</f>
        <v/>
      </c>
      <c r="L31" s="7" t="str">
        <f>CONCATENATE("16 16.1 2a")</f>
        <v>16 16.1 2a</v>
      </c>
      <c r="M31" s="7" t="str">
        <f>CONCATENATE("01415990421")</f>
        <v>01415990421</v>
      </c>
      <c r="N31" s="7" t="s">
        <v>97</v>
      </c>
      <c r="O31" s="7" t="s">
        <v>98</v>
      </c>
      <c r="P31" s="8">
        <v>44557</v>
      </c>
      <c r="Q31" s="7" t="s">
        <v>32</v>
      </c>
      <c r="R31" s="7" t="s">
        <v>45</v>
      </c>
      <c r="S31" s="7" t="s">
        <v>34</v>
      </c>
      <c r="T31" s="7"/>
      <c r="U31" s="7" t="s">
        <v>35</v>
      </c>
      <c r="V31" s="9">
        <v>179148.43</v>
      </c>
      <c r="W31" s="9">
        <v>77248.800000000003</v>
      </c>
      <c r="X31" s="9">
        <v>71336.899999999994</v>
      </c>
      <c r="Y31" s="7">
        <v>0</v>
      </c>
      <c r="Z31" s="9">
        <v>30562.73</v>
      </c>
    </row>
    <row r="32" spans="1:26" x14ac:dyDescent="0.35">
      <c r="A32" s="7" t="s">
        <v>27</v>
      </c>
      <c r="B32" s="7" t="s">
        <v>28</v>
      </c>
      <c r="C32" s="7" t="s">
        <v>47</v>
      </c>
      <c r="D32" s="7" t="s">
        <v>47</v>
      </c>
      <c r="E32" s="7" t="s">
        <v>29</v>
      </c>
      <c r="F32" s="7" t="s">
        <v>29</v>
      </c>
      <c r="G32" s="7">
        <v>2017</v>
      </c>
      <c r="H32" s="7" t="str">
        <f>CONCATENATE("14270356919")</f>
        <v>14270356919</v>
      </c>
      <c r="I32" s="7" t="s">
        <v>30</v>
      </c>
      <c r="J32" s="7" t="s">
        <v>31</v>
      </c>
      <c r="K32" s="7" t="str">
        <f>CONCATENATE("")</f>
        <v/>
      </c>
      <c r="L32" s="7" t="str">
        <f>CONCATENATE("19 19.2 6b")</f>
        <v>19 19.2 6b</v>
      </c>
      <c r="M32" s="7" t="str">
        <f>CONCATENATE("MRCVNA61E51D578X")</f>
        <v>MRCVNA61E51D578X</v>
      </c>
      <c r="N32" s="7" t="s">
        <v>99</v>
      </c>
      <c r="O32" s="7" t="s">
        <v>100</v>
      </c>
      <c r="P32" s="8">
        <v>44553</v>
      </c>
      <c r="Q32" s="7" t="s">
        <v>32</v>
      </c>
      <c r="R32" s="7" t="s">
        <v>45</v>
      </c>
      <c r="S32" s="7" t="s">
        <v>34</v>
      </c>
      <c r="T32" s="7"/>
      <c r="U32" s="7" t="s">
        <v>35</v>
      </c>
      <c r="V32" s="9">
        <v>17500</v>
      </c>
      <c r="W32" s="9">
        <v>7546</v>
      </c>
      <c r="X32" s="9">
        <v>6968.5</v>
      </c>
      <c r="Y32" s="7">
        <v>0</v>
      </c>
      <c r="Z32" s="9">
        <v>2985.5</v>
      </c>
    </row>
    <row r="33" spans="1:26" x14ac:dyDescent="0.35">
      <c r="A33" s="7" t="s">
        <v>27</v>
      </c>
      <c r="B33" s="7" t="s">
        <v>28</v>
      </c>
      <c r="C33" s="7" t="s">
        <v>47</v>
      </c>
      <c r="D33" s="7" t="s">
        <v>47</v>
      </c>
      <c r="E33" s="7" t="s">
        <v>29</v>
      </c>
      <c r="F33" s="7" t="s">
        <v>29</v>
      </c>
      <c r="G33" s="7">
        <v>2017</v>
      </c>
      <c r="H33" s="7" t="str">
        <f>CONCATENATE("14270356901")</f>
        <v>14270356901</v>
      </c>
      <c r="I33" s="7" t="s">
        <v>30</v>
      </c>
      <c r="J33" s="7" t="s">
        <v>31</v>
      </c>
      <c r="K33" s="7" t="str">
        <f>CONCATENATE("")</f>
        <v/>
      </c>
      <c r="L33" s="7" t="str">
        <f>CONCATENATE("19 19.2 6b")</f>
        <v>19 19.2 6b</v>
      </c>
      <c r="M33" s="7" t="str">
        <f>CONCATENATE("MCHSRN67H52H501P")</f>
        <v>MCHSRN67H52H501P</v>
      </c>
      <c r="N33" s="7" t="s">
        <v>101</v>
      </c>
      <c r="O33" s="7" t="s">
        <v>100</v>
      </c>
      <c r="P33" s="8">
        <v>44553</v>
      </c>
      <c r="Q33" s="7" t="s">
        <v>32</v>
      </c>
      <c r="R33" s="7" t="s">
        <v>45</v>
      </c>
      <c r="S33" s="7" t="s">
        <v>34</v>
      </c>
      <c r="T33" s="7"/>
      <c r="U33" s="7" t="s">
        <v>35</v>
      </c>
      <c r="V33" s="9">
        <v>20000</v>
      </c>
      <c r="W33" s="9">
        <v>8624</v>
      </c>
      <c r="X33" s="9">
        <v>7964</v>
      </c>
      <c r="Y33" s="7">
        <v>0</v>
      </c>
      <c r="Z33" s="9">
        <v>3412</v>
      </c>
    </row>
    <row r="34" spans="1:26" x14ac:dyDescent="0.35">
      <c r="A34" s="7" t="s">
        <v>27</v>
      </c>
      <c r="B34" s="7" t="s">
        <v>28</v>
      </c>
      <c r="C34" s="7" t="s">
        <v>47</v>
      </c>
      <c r="D34" s="7" t="s">
        <v>47</v>
      </c>
      <c r="E34" s="7" t="s">
        <v>29</v>
      </c>
      <c r="F34" s="7" t="s">
        <v>29</v>
      </c>
      <c r="G34" s="7">
        <v>2017</v>
      </c>
      <c r="H34" s="7" t="str">
        <f>CONCATENATE("14270356927")</f>
        <v>14270356927</v>
      </c>
      <c r="I34" s="7" t="s">
        <v>30</v>
      </c>
      <c r="J34" s="7" t="s">
        <v>31</v>
      </c>
      <c r="K34" s="7" t="str">
        <f>CONCATENATE("")</f>
        <v/>
      </c>
      <c r="L34" s="7" t="str">
        <f>CONCATENATE("19 19.2 6b")</f>
        <v>19 19.2 6b</v>
      </c>
      <c r="M34" s="7" t="str">
        <f>CONCATENATE("NCINTS93P48Z140K")</f>
        <v>NCINTS93P48Z140K</v>
      </c>
      <c r="N34" s="7" t="s">
        <v>102</v>
      </c>
      <c r="O34" s="7" t="s">
        <v>100</v>
      </c>
      <c r="P34" s="8">
        <v>44553</v>
      </c>
      <c r="Q34" s="7" t="s">
        <v>32</v>
      </c>
      <c r="R34" s="7" t="s">
        <v>45</v>
      </c>
      <c r="S34" s="7" t="s">
        <v>34</v>
      </c>
      <c r="T34" s="7"/>
      <c r="U34" s="7" t="s">
        <v>35</v>
      </c>
      <c r="V34" s="9">
        <v>20000</v>
      </c>
      <c r="W34" s="9">
        <v>8624</v>
      </c>
      <c r="X34" s="9">
        <v>7964</v>
      </c>
      <c r="Y34" s="7">
        <v>0</v>
      </c>
      <c r="Z34" s="9">
        <v>3412</v>
      </c>
    </row>
    <row r="35" spans="1:26" x14ac:dyDescent="0.35">
      <c r="A35" s="7" t="s">
        <v>27</v>
      </c>
      <c r="B35" s="7" t="s">
        <v>28</v>
      </c>
      <c r="C35" s="7" t="s">
        <v>47</v>
      </c>
      <c r="D35" s="7" t="s">
        <v>47</v>
      </c>
      <c r="E35" s="7" t="s">
        <v>29</v>
      </c>
      <c r="F35" s="7" t="s">
        <v>29</v>
      </c>
      <c r="G35" s="7">
        <v>2017</v>
      </c>
      <c r="H35" s="7" t="str">
        <f>CONCATENATE("14270356968")</f>
        <v>14270356968</v>
      </c>
      <c r="I35" s="7" t="s">
        <v>30</v>
      </c>
      <c r="J35" s="7" t="s">
        <v>31</v>
      </c>
      <c r="K35" s="7" t="str">
        <f>CONCATENATE("")</f>
        <v/>
      </c>
      <c r="L35" s="7" t="str">
        <f>CONCATENATE("19 19.2 6b")</f>
        <v>19 19.2 6b</v>
      </c>
      <c r="M35" s="7" t="str">
        <f>CONCATENATE("82000490415")</f>
        <v>82000490415</v>
      </c>
      <c r="N35" s="7" t="s">
        <v>103</v>
      </c>
      <c r="O35" s="7" t="s">
        <v>104</v>
      </c>
      <c r="P35" s="8">
        <v>44553</v>
      </c>
      <c r="Q35" s="7" t="s">
        <v>32</v>
      </c>
      <c r="R35" s="7" t="s">
        <v>44</v>
      </c>
      <c r="S35" s="7" t="s">
        <v>34</v>
      </c>
      <c r="T35" s="7"/>
      <c r="U35" s="7" t="s">
        <v>35</v>
      </c>
      <c r="V35" s="9">
        <v>12520</v>
      </c>
      <c r="W35" s="9">
        <v>5398.62</v>
      </c>
      <c r="X35" s="9">
        <v>4985.46</v>
      </c>
      <c r="Y35" s="7">
        <v>0</v>
      </c>
      <c r="Z35" s="9">
        <v>2135.92</v>
      </c>
    </row>
    <row r="36" spans="1:26" x14ac:dyDescent="0.35">
      <c r="A36" s="7" t="s">
        <v>27</v>
      </c>
      <c r="B36" s="7" t="s">
        <v>28</v>
      </c>
      <c r="C36" s="7" t="s">
        <v>47</v>
      </c>
      <c r="D36" s="7" t="s">
        <v>56</v>
      </c>
      <c r="E36" s="7" t="s">
        <v>29</v>
      </c>
      <c r="F36" s="7" t="s">
        <v>29</v>
      </c>
      <c r="G36" s="7">
        <v>2017</v>
      </c>
      <c r="H36" s="7" t="str">
        <f>CONCATENATE("14270358170")</f>
        <v>14270358170</v>
      </c>
      <c r="I36" s="7" t="s">
        <v>43</v>
      </c>
      <c r="J36" s="7" t="s">
        <v>31</v>
      </c>
      <c r="K36" s="7" t="str">
        <f>CONCATENATE("")</f>
        <v/>
      </c>
      <c r="L36" s="7" t="str">
        <f>CONCATENATE("3 3.2 3a")</f>
        <v>3 3.2 3a</v>
      </c>
      <c r="M36" s="7" t="str">
        <f>CONCATENATE("02464490420")</f>
        <v>02464490420</v>
      </c>
      <c r="N36" s="7" t="s">
        <v>105</v>
      </c>
      <c r="O36" s="7" t="s">
        <v>106</v>
      </c>
      <c r="P36" s="8">
        <v>44557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41601</v>
      </c>
      <c r="W36" s="9">
        <v>17938.349999999999</v>
      </c>
      <c r="X36" s="9">
        <v>16565.52</v>
      </c>
      <c r="Y36" s="7">
        <v>0</v>
      </c>
      <c r="Z36" s="9">
        <v>7097.13</v>
      </c>
    </row>
    <row r="37" spans="1:26" x14ac:dyDescent="0.35">
      <c r="A37" s="7" t="s">
        <v>27</v>
      </c>
      <c r="B37" s="7" t="s">
        <v>36</v>
      </c>
      <c r="C37" s="7" t="s">
        <v>47</v>
      </c>
      <c r="D37" s="7" t="s">
        <v>56</v>
      </c>
      <c r="E37" s="7" t="s">
        <v>40</v>
      </c>
      <c r="F37" s="7" t="s">
        <v>107</v>
      </c>
      <c r="G37" s="7">
        <v>2020</v>
      </c>
      <c r="H37" s="7" t="str">
        <f>CONCATENATE("04240430340")</f>
        <v>04240430340</v>
      </c>
      <c r="I37" s="7" t="s">
        <v>30</v>
      </c>
      <c r="J37" s="7" t="s">
        <v>31</v>
      </c>
      <c r="K37" s="7" t="str">
        <f>CONCATENATE("")</f>
        <v/>
      </c>
      <c r="L37" s="7" t="str">
        <f>CONCATENATE("11 11.2 4b")</f>
        <v>11 11.2 4b</v>
      </c>
      <c r="M37" s="7" t="str">
        <f>CONCATENATE("02781280421")</f>
        <v>02781280421</v>
      </c>
      <c r="N37" s="7" t="s">
        <v>108</v>
      </c>
      <c r="O37" s="7" t="s">
        <v>109</v>
      </c>
      <c r="P37" s="8">
        <v>44557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7">
        <v>862.22</v>
      </c>
      <c r="W37" s="7">
        <v>371.79</v>
      </c>
      <c r="X37" s="7">
        <v>343.34</v>
      </c>
      <c r="Y37" s="7">
        <v>0</v>
      </c>
      <c r="Z37" s="7">
        <v>147.09</v>
      </c>
    </row>
    <row r="38" spans="1:26" ht="17.5" x14ac:dyDescent="0.35">
      <c r="A38" s="7" t="s">
        <v>27</v>
      </c>
      <c r="B38" s="7" t="s">
        <v>36</v>
      </c>
      <c r="C38" s="7" t="s">
        <v>47</v>
      </c>
      <c r="D38" s="7" t="s">
        <v>56</v>
      </c>
      <c r="E38" s="7" t="s">
        <v>40</v>
      </c>
      <c r="F38" s="7" t="s">
        <v>63</v>
      </c>
      <c r="G38" s="7">
        <v>2020</v>
      </c>
      <c r="H38" s="7" t="str">
        <f>CONCATENATE("04240594772")</f>
        <v>04240594772</v>
      </c>
      <c r="I38" s="7" t="s">
        <v>30</v>
      </c>
      <c r="J38" s="7" t="s">
        <v>31</v>
      </c>
      <c r="K38" s="7" t="str">
        <f>CONCATENATE("")</f>
        <v/>
      </c>
      <c r="L38" s="7" t="str">
        <f>CONCATENATE("11 11.1 4b")</f>
        <v>11 11.1 4b</v>
      </c>
      <c r="M38" s="7" t="str">
        <f>CONCATENATE("02707770422")</f>
        <v>02707770422</v>
      </c>
      <c r="N38" s="7" t="s">
        <v>110</v>
      </c>
      <c r="O38" s="7" t="s">
        <v>109</v>
      </c>
      <c r="P38" s="8">
        <v>44557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1009.29</v>
      </c>
      <c r="W38" s="7">
        <v>435.21</v>
      </c>
      <c r="X38" s="7">
        <v>401.9</v>
      </c>
      <c r="Y38" s="7">
        <v>0</v>
      </c>
      <c r="Z38" s="7">
        <v>172.18</v>
      </c>
    </row>
    <row r="39" spans="1:26" x14ac:dyDescent="0.35">
      <c r="A39" s="7" t="s">
        <v>27</v>
      </c>
      <c r="B39" s="7" t="s">
        <v>36</v>
      </c>
      <c r="C39" s="7" t="s">
        <v>47</v>
      </c>
      <c r="D39" s="7" t="s">
        <v>56</v>
      </c>
      <c r="E39" s="7" t="s">
        <v>40</v>
      </c>
      <c r="F39" s="7" t="s">
        <v>107</v>
      </c>
      <c r="G39" s="7">
        <v>2020</v>
      </c>
      <c r="H39" s="7" t="str">
        <f>CONCATENATE("04241316332")</f>
        <v>04241316332</v>
      </c>
      <c r="I39" s="7" t="s">
        <v>30</v>
      </c>
      <c r="J39" s="7" t="s">
        <v>31</v>
      </c>
      <c r="K39" s="7" t="str">
        <f>CONCATENATE("")</f>
        <v/>
      </c>
      <c r="L39" s="7" t="str">
        <f>CONCATENATE("11 11.2 4b")</f>
        <v>11 11.2 4b</v>
      </c>
      <c r="M39" s="7" t="str">
        <f>CONCATENATE("00283690428")</f>
        <v>00283690428</v>
      </c>
      <c r="N39" s="7" t="s">
        <v>111</v>
      </c>
      <c r="O39" s="7" t="s">
        <v>109</v>
      </c>
      <c r="P39" s="8">
        <v>44557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7">
        <v>826.5</v>
      </c>
      <c r="W39" s="7">
        <v>356.39</v>
      </c>
      <c r="X39" s="7">
        <v>329.11</v>
      </c>
      <c r="Y39" s="7">
        <v>0</v>
      </c>
      <c r="Z39" s="7">
        <v>141</v>
      </c>
    </row>
    <row r="40" spans="1:26" x14ac:dyDescent="0.35">
      <c r="A40" s="7" t="s">
        <v>27</v>
      </c>
      <c r="B40" s="7" t="s">
        <v>28</v>
      </c>
      <c r="C40" s="7" t="s">
        <v>47</v>
      </c>
      <c r="D40" s="7" t="s">
        <v>112</v>
      </c>
      <c r="E40" s="7" t="s">
        <v>29</v>
      </c>
      <c r="F40" s="7" t="s">
        <v>29</v>
      </c>
      <c r="G40" s="7">
        <v>2017</v>
      </c>
      <c r="H40" s="7" t="str">
        <f>CONCATENATE("14270356992")</f>
        <v>14270356992</v>
      </c>
      <c r="I40" s="7" t="s">
        <v>30</v>
      </c>
      <c r="J40" s="7" t="s">
        <v>31</v>
      </c>
      <c r="K40" s="7" t="str">
        <f>CONCATENATE("")</f>
        <v/>
      </c>
      <c r="L40" s="7" t="str">
        <f>CONCATENATE("8 8.3 5e")</f>
        <v>8 8.3 5e</v>
      </c>
      <c r="M40" s="7" t="str">
        <f>CONCATENATE("01874330432")</f>
        <v>01874330432</v>
      </c>
      <c r="N40" s="7" t="s">
        <v>113</v>
      </c>
      <c r="O40" s="7" t="s">
        <v>114</v>
      </c>
      <c r="P40" s="8">
        <v>44553</v>
      </c>
      <c r="Q40" s="7" t="s">
        <v>32</v>
      </c>
      <c r="R40" s="7" t="s">
        <v>44</v>
      </c>
      <c r="S40" s="7" t="s">
        <v>34</v>
      </c>
      <c r="T40" s="7"/>
      <c r="U40" s="7" t="s">
        <v>35</v>
      </c>
      <c r="V40" s="9">
        <v>204734</v>
      </c>
      <c r="W40" s="9">
        <v>88281.3</v>
      </c>
      <c r="X40" s="9">
        <v>81525.08</v>
      </c>
      <c r="Y40" s="7">
        <v>0</v>
      </c>
      <c r="Z40" s="9">
        <v>34927.620000000003</v>
      </c>
    </row>
    <row r="41" spans="1:26" x14ac:dyDescent="0.35">
      <c r="A41" s="7" t="s">
        <v>27</v>
      </c>
      <c r="B41" s="7" t="s">
        <v>28</v>
      </c>
      <c r="C41" s="7" t="s">
        <v>47</v>
      </c>
      <c r="D41" s="7" t="s">
        <v>56</v>
      </c>
      <c r="E41" s="7" t="s">
        <v>40</v>
      </c>
      <c r="F41" s="7" t="s">
        <v>63</v>
      </c>
      <c r="G41" s="7">
        <v>2017</v>
      </c>
      <c r="H41" s="7" t="str">
        <f>CONCATENATE("14270358162")</f>
        <v>14270358162</v>
      </c>
      <c r="I41" s="7" t="s">
        <v>30</v>
      </c>
      <c r="J41" s="7" t="s">
        <v>31</v>
      </c>
      <c r="K41" s="7" t="str">
        <f>CONCATENATE("")</f>
        <v/>
      </c>
      <c r="L41" s="7" t="str">
        <f>CONCATENATE("6 6.1 2b")</f>
        <v>6 6.1 2b</v>
      </c>
      <c r="M41" s="7" t="str">
        <f>CONCATENATE("MRNLNZ92A11A271S")</f>
        <v>MRNLNZ92A11A271S</v>
      </c>
      <c r="N41" s="7" t="s">
        <v>115</v>
      </c>
      <c r="O41" s="7" t="s">
        <v>116</v>
      </c>
      <c r="P41" s="8">
        <v>44557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10500</v>
      </c>
      <c r="W41" s="9">
        <v>4527.6000000000004</v>
      </c>
      <c r="X41" s="9">
        <v>4181.1000000000004</v>
      </c>
      <c r="Y41" s="7">
        <v>0</v>
      </c>
      <c r="Z41" s="9">
        <v>1791.3</v>
      </c>
    </row>
    <row r="42" spans="1:26" x14ac:dyDescent="0.35">
      <c r="A42" s="7" t="s">
        <v>27</v>
      </c>
      <c r="B42" s="7" t="s">
        <v>28</v>
      </c>
      <c r="C42" s="7" t="s">
        <v>47</v>
      </c>
      <c r="D42" s="7" t="s">
        <v>47</v>
      </c>
      <c r="E42" s="7" t="s">
        <v>29</v>
      </c>
      <c r="F42" s="7" t="s">
        <v>29</v>
      </c>
      <c r="G42" s="7">
        <v>2017</v>
      </c>
      <c r="H42" s="7" t="str">
        <f>CONCATENATE("14270357073")</f>
        <v>14270357073</v>
      </c>
      <c r="I42" s="7" t="s">
        <v>30</v>
      </c>
      <c r="J42" s="7" t="s">
        <v>31</v>
      </c>
      <c r="K42" s="7" t="str">
        <f>CONCATENATE("")</f>
        <v/>
      </c>
      <c r="L42" s="7" t="str">
        <f>CONCATENATE("19 19.2 6b")</f>
        <v>19 19.2 6b</v>
      </c>
      <c r="M42" s="7" t="str">
        <f>CONCATENATE("81000890442")</f>
        <v>81000890442</v>
      </c>
      <c r="N42" s="7" t="s">
        <v>117</v>
      </c>
      <c r="O42" s="7" t="s">
        <v>118</v>
      </c>
      <c r="P42" s="8">
        <v>44553</v>
      </c>
      <c r="Q42" s="7" t="s">
        <v>32</v>
      </c>
      <c r="R42" s="7" t="s">
        <v>44</v>
      </c>
      <c r="S42" s="7" t="s">
        <v>34</v>
      </c>
      <c r="T42" s="7"/>
      <c r="U42" s="7" t="s">
        <v>35</v>
      </c>
      <c r="V42" s="9">
        <v>33233.72</v>
      </c>
      <c r="W42" s="9">
        <v>14330.38</v>
      </c>
      <c r="X42" s="9">
        <v>13233.67</v>
      </c>
      <c r="Y42" s="7">
        <v>0</v>
      </c>
      <c r="Z42" s="9">
        <v>5669.67</v>
      </c>
    </row>
    <row r="43" spans="1:26" x14ac:dyDescent="0.35">
      <c r="A43" s="7" t="s">
        <v>27</v>
      </c>
      <c r="B43" s="7" t="s">
        <v>28</v>
      </c>
      <c r="C43" s="7" t="s">
        <v>47</v>
      </c>
      <c r="D43" s="7" t="s">
        <v>47</v>
      </c>
      <c r="E43" s="7" t="s">
        <v>29</v>
      </c>
      <c r="F43" s="7" t="s">
        <v>29</v>
      </c>
      <c r="G43" s="7">
        <v>2017</v>
      </c>
      <c r="H43" s="7" t="str">
        <f>CONCATENATE("14270357081")</f>
        <v>14270357081</v>
      </c>
      <c r="I43" s="7" t="s">
        <v>30</v>
      </c>
      <c r="J43" s="7" t="s">
        <v>31</v>
      </c>
      <c r="K43" s="7" t="str">
        <f>CONCATENATE("")</f>
        <v/>
      </c>
      <c r="L43" s="7" t="str">
        <f>CONCATENATE("19 19.2 6b")</f>
        <v>19 19.2 6b</v>
      </c>
      <c r="M43" s="7" t="str">
        <f>CONCATENATE("81001330448")</f>
        <v>81001330448</v>
      </c>
      <c r="N43" s="7" t="s">
        <v>119</v>
      </c>
      <c r="O43" s="7" t="s">
        <v>118</v>
      </c>
      <c r="P43" s="8">
        <v>44553</v>
      </c>
      <c r="Q43" s="7" t="s">
        <v>32</v>
      </c>
      <c r="R43" s="7" t="s">
        <v>44</v>
      </c>
      <c r="S43" s="7" t="s">
        <v>34</v>
      </c>
      <c r="T43" s="7"/>
      <c r="U43" s="7" t="s">
        <v>35</v>
      </c>
      <c r="V43" s="9">
        <v>53022.77</v>
      </c>
      <c r="W43" s="9">
        <v>22863.42</v>
      </c>
      <c r="X43" s="9">
        <v>21113.67</v>
      </c>
      <c r="Y43" s="7">
        <v>0</v>
      </c>
      <c r="Z43" s="9">
        <v>9045.68</v>
      </c>
    </row>
    <row r="44" spans="1:26" x14ac:dyDescent="0.35">
      <c r="A44" s="7" t="s">
        <v>27</v>
      </c>
      <c r="B44" s="7" t="s">
        <v>36</v>
      </c>
      <c r="C44" s="7" t="s">
        <v>47</v>
      </c>
      <c r="D44" s="7" t="s">
        <v>112</v>
      </c>
      <c r="E44" s="7" t="s">
        <v>37</v>
      </c>
      <c r="F44" s="7" t="s">
        <v>120</v>
      </c>
      <c r="G44" s="7">
        <v>2021</v>
      </c>
      <c r="H44" s="7" t="str">
        <f>CONCATENATE("14241121475")</f>
        <v>14241121475</v>
      </c>
      <c r="I44" s="7" t="s">
        <v>30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CONCATENATE("HRBMRA73E63Z138N")</f>
        <v>HRBMRA73E63Z138N</v>
      </c>
      <c r="N44" s="7" t="s">
        <v>121</v>
      </c>
      <c r="O44" s="7" t="s">
        <v>122</v>
      </c>
      <c r="P44" s="8">
        <v>44552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7">
        <v>698.94</v>
      </c>
      <c r="W44" s="7">
        <v>301.38</v>
      </c>
      <c r="X44" s="7">
        <v>278.32</v>
      </c>
      <c r="Y44" s="7">
        <v>0</v>
      </c>
      <c r="Z44" s="7">
        <v>119.24</v>
      </c>
    </row>
    <row r="45" spans="1:26" x14ac:dyDescent="0.35">
      <c r="A45" s="7" t="s">
        <v>27</v>
      </c>
      <c r="B45" s="7" t="s">
        <v>36</v>
      </c>
      <c r="C45" s="7" t="s">
        <v>47</v>
      </c>
      <c r="D45" s="7" t="s">
        <v>112</v>
      </c>
      <c r="E45" s="7" t="s">
        <v>37</v>
      </c>
      <c r="F45" s="7" t="s">
        <v>120</v>
      </c>
      <c r="G45" s="7">
        <v>2021</v>
      </c>
      <c r="H45" s="7" t="str">
        <f>CONCATENATE("14240459579")</f>
        <v>14240459579</v>
      </c>
      <c r="I45" s="7" t="s">
        <v>30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CONCATENATE("01512040435")</f>
        <v>01512040435</v>
      </c>
      <c r="N45" s="7" t="s">
        <v>123</v>
      </c>
      <c r="O45" s="7" t="s">
        <v>122</v>
      </c>
      <c r="P45" s="8">
        <v>44552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2965.11</v>
      </c>
      <c r="W45" s="9">
        <v>1278.56</v>
      </c>
      <c r="X45" s="9">
        <v>1180.71</v>
      </c>
      <c r="Y45" s="7">
        <v>0</v>
      </c>
      <c r="Z45" s="7">
        <v>505.84</v>
      </c>
    </row>
    <row r="46" spans="1:26" x14ac:dyDescent="0.35">
      <c r="A46" s="7" t="s">
        <v>27</v>
      </c>
      <c r="B46" s="7" t="s">
        <v>36</v>
      </c>
      <c r="C46" s="7" t="s">
        <v>47</v>
      </c>
      <c r="D46" s="7" t="s">
        <v>112</v>
      </c>
      <c r="E46" s="7" t="s">
        <v>42</v>
      </c>
      <c r="F46" s="7" t="s">
        <v>124</v>
      </c>
      <c r="G46" s="7">
        <v>2021</v>
      </c>
      <c r="H46" s="7" t="str">
        <f>CONCATENATE("14240745902")</f>
        <v>14240745902</v>
      </c>
      <c r="I46" s="7" t="s">
        <v>30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CONCATENATE("MZZVNI66S30A334P")</f>
        <v>MZZVNI66S30A334P</v>
      </c>
      <c r="N46" s="7" t="s">
        <v>125</v>
      </c>
      <c r="O46" s="7" t="s">
        <v>122</v>
      </c>
      <c r="P46" s="8">
        <v>44552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7">
        <v>555.49</v>
      </c>
      <c r="W46" s="7">
        <v>239.53</v>
      </c>
      <c r="X46" s="7">
        <v>221.2</v>
      </c>
      <c r="Y46" s="7">
        <v>0</v>
      </c>
      <c r="Z46" s="7">
        <v>94.76</v>
      </c>
    </row>
    <row r="47" spans="1:26" x14ac:dyDescent="0.35">
      <c r="A47" s="7" t="s">
        <v>27</v>
      </c>
      <c r="B47" s="7" t="s">
        <v>36</v>
      </c>
      <c r="C47" s="7" t="s">
        <v>47</v>
      </c>
      <c r="D47" s="7" t="s">
        <v>112</v>
      </c>
      <c r="E47" s="7" t="s">
        <v>39</v>
      </c>
      <c r="F47" s="7" t="s">
        <v>126</v>
      </c>
      <c r="G47" s="7">
        <v>2021</v>
      </c>
      <c r="H47" s="7" t="str">
        <f>CONCATENATE("14240620246")</f>
        <v>14240620246</v>
      </c>
      <c r="I47" s="7" t="s">
        <v>30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CONCATENATE("SBSDMN91B16I156V")</f>
        <v>SBSDMN91B16I156V</v>
      </c>
      <c r="N47" s="7" t="s">
        <v>127</v>
      </c>
      <c r="O47" s="7" t="s">
        <v>122</v>
      </c>
      <c r="P47" s="8">
        <v>44552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1271.3800000000001</v>
      </c>
      <c r="W47" s="7">
        <v>548.22</v>
      </c>
      <c r="X47" s="7">
        <v>506.26</v>
      </c>
      <c r="Y47" s="7">
        <v>0</v>
      </c>
      <c r="Z47" s="7">
        <v>216.9</v>
      </c>
    </row>
    <row r="48" spans="1:26" x14ac:dyDescent="0.35">
      <c r="A48" s="7" t="s">
        <v>27</v>
      </c>
      <c r="B48" s="7" t="s">
        <v>36</v>
      </c>
      <c r="C48" s="7" t="s">
        <v>47</v>
      </c>
      <c r="D48" s="7" t="s">
        <v>112</v>
      </c>
      <c r="E48" s="7" t="s">
        <v>39</v>
      </c>
      <c r="F48" s="7" t="s">
        <v>128</v>
      </c>
      <c r="G48" s="7">
        <v>2021</v>
      </c>
      <c r="H48" s="7" t="str">
        <f>CONCATENATE("14241387423")</f>
        <v>14241387423</v>
      </c>
      <c r="I48" s="7" t="s">
        <v>30</v>
      </c>
      <c r="J48" s="7" t="s">
        <v>31</v>
      </c>
      <c r="K48" s="7" t="str">
        <f>CONCATENATE("")</f>
        <v/>
      </c>
      <c r="L48" s="7" t="str">
        <f>CONCATENATE("11 11.2 4b")</f>
        <v>11 11.2 4b</v>
      </c>
      <c r="M48" s="7" t="str">
        <f>CONCATENATE("PNTNZE59T24L191H")</f>
        <v>PNTNZE59T24L191H</v>
      </c>
      <c r="N48" s="7" t="s">
        <v>129</v>
      </c>
      <c r="O48" s="7" t="s">
        <v>122</v>
      </c>
      <c r="P48" s="8">
        <v>44552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2647.69</v>
      </c>
      <c r="W48" s="9">
        <v>1141.68</v>
      </c>
      <c r="X48" s="9">
        <v>1054.31</v>
      </c>
      <c r="Y48" s="7">
        <v>0</v>
      </c>
      <c r="Z48" s="7">
        <v>451.7</v>
      </c>
    </row>
    <row r="49" spans="1:26" ht="17.5" x14ac:dyDescent="0.35">
      <c r="A49" s="7" t="s">
        <v>27</v>
      </c>
      <c r="B49" s="7" t="s">
        <v>36</v>
      </c>
      <c r="C49" s="7" t="s">
        <v>47</v>
      </c>
      <c r="D49" s="7" t="s">
        <v>112</v>
      </c>
      <c r="E49" s="7" t="s">
        <v>39</v>
      </c>
      <c r="F49" s="7" t="s">
        <v>130</v>
      </c>
      <c r="G49" s="7">
        <v>2021</v>
      </c>
      <c r="H49" s="7" t="str">
        <f>CONCATENATE("14240387051")</f>
        <v>14240387051</v>
      </c>
      <c r="I49" s="7" t="s">
        <v>30</v>
      </c>
      <c r="J49" s="7" t="s">
        <v>31</v>
      </c>
      <c r="K49" s="7" t="str">
        <f>CONCATENATE("")</f>
        <v/>
      </c>
      <c r="L49" s="7" t="str">
        <f>CONCATENATE("11 11.1 4b")</f>
        <v>11 11.1 4b</v>
      </c>
      <c r="M49" s="7" t="str">
        <f>CONCATENATE("MNGMTR57D70F454W")</f>
        <v>MNGMTR57D70F454W</v>
      </c>
      <c r="N49" s="7" t="s">
        <v>131</v>
      </c>
      <c r="O49" s="7" t="s">
        <v>122</v>
      </c>
      <c r="P49" s="8">
        <v>44552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7">
        <v>370.72</v>
      </c>
      <c r="W49" s="7">
        <v>159.85</v>
      </c>
      <c r="X49" s="7">
        <v>147.62</v>
      </c>
      <c r="Y49" s="7">
        <v>0</v>
      </c>
      <c r="Z49" s="7">
        <v>63.25</v>
      </c>
    </row>
    <row r="50" spans="1:26" x14ac:dyDescent="0.35">
      <c r="A50" s="7" t="s">
        <v>27</v>
      </c>
      <c r="B50" s="7" t="s">
        <v>36</v>
      </c>
      <c r="C50" s="7" t="s">
        <v>47</v>
      </c>
      <c r="D50" s="7" t="s">
        <v>112</v>
      </c>
      <c r="E50" s="7" t="s">
        <v>39</v>
      </c>
      <c r="F50" s="7" t="s">
        <v>126</v>
      </c>
      <c r="G50" s="7">
        <v>2021</v>
      </c>
      <c r="H50" s="7" t="str">
        <f>CONCATENATE("14240501263")</f>
        <v>14240501263</v>
      </c>
      <c r="I50" s="7" t="s">
        <v>30</v>
      </c>
      <c r="J50" s="7" t="s">
        <v>31</v>
      </c>
      <c r="K50" s="7" t="str">
        <f>CONCATENATE("")</f>
        <v/>
      </c>
      <c r="L50" s="7" t="str">
        <f>CONCATENATE("11 11.1 4b")</f>
        <v>11 11.1 4b</v>
      </c>
      <c r="M50" s="7" t="str">
        <f>CONCATENATE("00935140434")</f>
        <v>00935140434</v>
      </c>
      <c r="N50" s="7" t="s">
        <v>132</v>
      </c>
      <c r="O50" s="7" t="s">
        <v>122</v>
      </c>
      <c r="P50" s="8">
        <v>44552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1325.43</v>
      </c>
      <c r="W50" s="7">
        <v>571.53</v>
      </c>
      <c r="X50" s="7">
        <v>527.79</v>
      </c>
      <c r="Y50" s="7">
        <v>0</v>
      </c>
      <c r="Z50" s="7">
        <v>226.11</v>
      </c>
    </row>
    <row r="51" spans="1:26" x14ac:dyDescent="0.35">
      <c r="A51" s="7" t="s">
        <v>27</v>
      </c>
      <c r="B51" s="7" t="s">
        <v>36</v>
      </c>
      <c r="C51" s="7" t="s">
        <v>47</v>
      </c>
      <c r="D51" s="7" t="s">
        <v>60</v>
      </c>
      <c r="E51" s="7" t="s">
        <v>37</v>
      </c>
      <c r="F51" s="7" t="s">
        <v>67</v>
      </c>
      <c r="G51" s="7">
        <v>2021</v>
      </c>
      <c r="H51" s="7" t="str">
        <f>CONCATENATE("14240430687")</f>
        <v>14240430687</v>
      </c>
      <c r="I51" s="7" t="s">
        <v>30</v>
      </c>
      <c r="J51" s="7" t="s">
        <v>31</v>
      </c>
      <c r="K51" s="7" t="str">
        <f>CONCATENATE("")</f>
        <v/>
      </c>
      <c r="L51" s="7" t="str">
        <f>CONCATENATE("11 11.1 4b")</f>
        <v>11 11.1 4b</v>
      </c>
      <c r="M51" s="7" t="str">
        <f>CONCATENATE("CCCGGN68P50I459R")</f>
        <v>CCCGGN68P50I459R</v>
      </c>
      <c r="N51" s="7" t="s">
        <v>133</v>
      </c>
      <c r="O51" s="7" t="s">
        <v>122</v>
      </c>
      <c r="P51" s="8">
        <v>44552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8937.73</v>
      </c>
      <c r="W51" s="9">
        <v>3853.95</v>
      </c>
      <c r="X51" s="9">
        <v>3559</v>
      </c>
      <c r="Y51" s="7">
        <v>0</v>
      </c>
      <c r="Z51" s="9">
        <v>1524.78</v>
      </c>
    </row>
    <row r="52" spans="1:26" x14ac:dyDescent="0.35">
      <c r="A52" s="7" t="s">
        <v>27</v>
      </c>
      <c r="B52" s="7" t="s">
        <v>36</v>
      </c>
      <c r="C52" s="7" t="s">
        <v>47</v>
      </c>
      <c r="D52" s="7" t="s">
        <v>60</v>
      </c>
      <c r="E52" s="7" t="s">
        <v>37</v>
      </c>
      <c r="F52" s="7" t="s">
        <v>67</v>
      </c>
      <c r="G52" s="7">
        <v>2021</v>
      </c>
      <c r="H52" s="7" t="str">
        <f>CONCATENATE("14240430778")</f>
        <v>14240430778</v>
      </c>
      <c r="I52" s="7" t="s">
        <v>30</v>
      </c>
      <c r="J52" s="7" t="s">
        <v>31</v>
      </c>
      <c r="K52" s="7" t="str">
        <f>CONCATENATE("")</f>
        <v/>
      </c>
      <c r="L52" s="7" t="str">
        <f>CONCATENATE("11 11.2 4b")</f>
        <v>11 11.2 4b</v>
      </c>
      <c r="M52" s="7" t="str">
        <f>CONCATENATE("CCCGGN68P50I459R")</f>
        <v>CCCGGN68P50I459R</v>
      </c>
      <c r="N52" s="7" t="s">
        <v>133</v>
      </c>
      <c r="O52" s="7" t="s">
        <v>122</v>
      </c>
      <c r="P52" s="8">
        <v>44552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8519.83</v>
      </c>
      <c r="W52" s="9">
        <v>3673.75</v>
      </c>
      <c r="X52" s="9">
        <v>3392.6</v>
      </c>
      <c r="Y52" s="7">
        <v>0</v>
      </c>
      <c r="Z52" s="9">
        <v>1453.48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21507</vt:lpwstr>
  </property>
  <property fmtid="{D5CDD505-2E9C-101B-9397-08002B2CF9AE}" pid="4" name="OptimizationTime">
    <vt:lpwstr>20211229_1715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2021-12-29T15:44:59Z</dcterms:created>
  <dcterms:modified xsi:type="dcterms:W3CDTF">2021-12-29T15:46:40Z</dcterms:modified>
</cp:coreProperties>
</file>