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5/"/>
    </mc:Choice>
  </mc:AlternateContent>
  <xr:revisionPtr revIDLastSave="0" documentId="8_{DFE4E198-28FD-46B0-A4CD-96E7C2F8B2D6}" xr6:coauthVersionLast="46" xr6:coauthVersionMax="46" xr10:uidLastSave="{00000000-0000-0000-0000-000000000000}"/>
  <bookViews>
    <workbookView xWindow="-110" yWindow="-110" windowWidth="19420" windowHeight="10420" xr2:uid="{3B9B3B14-44D3-422B-87A2-D1052A557DB0}"/>
  </bookViews>
  <sheets>
    <sheet name="Dettaglio_Domande_Pagabili_AGEA" sheetId="1" r:id="rId1"/>
  </sheets>
  <definedNames>
    <definedName name="_xlnm._FilterDatabase" localSheetId="0" hidden="1">Dettaglio_Domande_Pagabili_AGEA!$A$3:$Z$244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4" i="1" l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<sst xmlns="http://schemas.openxmlformats.org/spreadsheetml/2006/main" count="3401" uniqueCount="399">
  <si>
    <t>Dettaglio Domande Pagabili Decreto 505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</si>
  <si>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</si>
  <si>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</si>
  <si>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</si>
  <si>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</si>
  <si>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</si>
  <si>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</si>
  <si>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</si>
  <si>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</si>
  <si>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</si>
  <si>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</si>
  <si>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</si>
  <si>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</si>
  <si>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</si>
  <si>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</si>
  <si>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</si>
  <si>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</si>
  <si>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</si>
  <si>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</si>
  <si>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</si>
  <si>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</si>
  <si>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</si>
  <si>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</si>
  <si>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</si>
  <si>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</si>
  <si>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</si>
  <si>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</si>
  <si>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</si>
  <si>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</si>
  <si>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</si>
  <si>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</si>
  <si>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</si>
  <si>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</si>
  <si>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</si>
  <si>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</si>
  <si>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</si>
  <si>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CAA Confagricoltura srl</t>
  </si>
  <si>
    <t>CAA UNSIC s.r.l.</t>
  </si>
  <si>
    <t>CAA CIA srl</t>
  </si>
  <si>
    <t>CAA-CAF AGRI S.R.L.</t>
  </si>
  <si>
    <t>SI</t>
  </si>
  <si>
    <t>CAA LiberiAgricoltori srl già CAA AGCI srl</t>
  </si>
  <si>
    <t>IN PROPRIO</t>
  </si>
  <si>
    <t>Misure a Superficie</t>
  </si>
  <si>
    <t>CAA UNICAA srl</t>
  </si>
  <si>
    <t>CAA AGRISERVIZI s.r.l.</t>
  </si>
  <si>
    <t>Anticipo</t>
  </si>
  <si>
    <t>SAL</t>
  </si>
  <si>
    <t>CAA C.A.N.A.P.A. srl</t>
  </si>
  <si>
    <t>CAA Liberi Professionisti srl</t>
  </si>
  <si>
    <t>MARCHE</t>
  </si>
  <si>
    <t>SERV. DEC. AGRICOLTURA E ALIMENTAZIONE - ANCONA</t>
  </si>
  <si>
    <t>CAA CIA - ANCONA - 006</t>
  </si>
  <si>
    <t>SOCIETA' COOPERATIVA AGRICOLA MODERNA</t>
  </si>
  <si>
    <t>AGEA.ASR.2021.1754400</t>
  </si>
  <si>
    <t>SERV. DEC. AGRICOLTURA E ALIMENTAZIONE - PESARO</t>
  </si>
  <si>
    <t>CAA Coldiretti - PESARO E URBINO - 013</t>
  </si>
  <si>
    <t>LUCARELLI ROBERTO</t>
  </si>
  <si>
    <t>AGEA.ASR.2021.1308984</t>
  </si>
  <si>
    <t>SERV. DEC. AGRICOLTURA E ALIM. -ASCOLI PICENO</t>
  </si>
  <si>
    <t>CAA Coldiretti - ASCOLI PICENO - 025</t>
  </si>
  <si>
    <t>VALENTINI VALERIANA</t>
  </si>
  <si>
    <t>AGEA.ASR.2021.1285222</t>
  </si>
  <si>
    <t>TITTONI GIOVANNI</t>
  </si>
  <si>
    <t>AGEA.ASR.2021.1208087</t>
  </si>
  <si>
    <t>COMUNE DI TOLENTINO</t>
  </si>
  <si>
    <t>AGEA.ASR.2021.1232695</t>
  </si>
  <si>
    <t>CAA Coldiretti - PESARO E URBINO - 010</t>
  </si>
  <si>
    <t>CAPPONI AURELIO</t>
  </si>
  <si>
    <t>AGEA.ASR.2021.1283666</t>
  </si>
  <si>
    <t>CAA CIA - ANCONA - 002</t>
  </si>
  <si>
    <t>BADIALI GIROLAMO</t>
  </si>
  <si>
    <t>AGEA.ASR.2021.1205291</t>
  </si>
  <si>
    <t>CAA LiberiAgricoltori - PESARO E URBINO - 002</t>
  </si>
  <si>
    <t>I PODERI DEL POGGIO SOCIETA' AGRICOLA</t>
  </si>
  <si>
    <t>AGEA.ASR.2021.1164496</t>
  </si>
  <si>
    <t>BOVINMARCHE ALLEVATORI MARCHIGIANI SOCIETA' COOPERATIVA CONSORTILE AGR</t>
  </si>
  <si>
    <t>AGEA.ASR.2021.1823009</t>
  </si>
  <si>
    <t>CAA CIA - PESARO E URBINO - 007</t>
  </si>
  <si>
    <t>ROVELLI CLAUDIO</t>
  </si>
  <si>
    <t>AGEA.ASR.2021.1757702</t>
  </si>
  <si>
    <t>LATTE MARCHE SOCIETA' COOPERATIVA AGRICOLA</t>
  </si>
  <si>
    <t>CAA UNICAA - ASCOLI PICENO - 004</t>
  </si>
  <si>
    <t>CORSI RAFFAELE</t>
  </si>
  <si>
    <t>AGEA.ASR.2021.1767913</t>
  </si>
  <si>
    <t>GUERRIERI LUCA</t>
  </si>
  <si>
    <t>MONTEBELLO COOPERATIVA AGROBIOLOGICA</t>
  </si>
  <si>
    <t>SPINELLI FABIO</t>
  </si>
  <si>
    <t>AGEA.ASR.2021.1757703</t>
  </si>
  <si>
    <t>COOPERLAT SOCIETA' COOPERATIVA AGRICOLA</t>
  </si>
  <si>
    <t>AGEA.ASR.2021.1854264</t>
  </si>
  <si>
    <t>CAA Coldiretti - PESARO E URBINO - 001</t>
  </si>
  <si>
    <t>LA TAVOLA MARCHE AGRITURISMO SOCIETA' AGRICOLA</t>
  </si>
  <si>
    <t>AGEA.ASR.2021.1757663</t>
  </si>
  <si>
    <t>PIERSANTI FRANCO</t>
  </si>
  <si>
    <t>SERV. DEC. AGRICOLTURA E ALIM. - MACERATA</t>
  </si>
  <si>
    <t>IL SALICE FIORITO DI PAOLA E FRANCESCO SOCIETA' AGRICOLA S. S.</t>
  </si>
  <si>
    <t>AGEA.ASR.2021.1761406</t>
  </si>
  <si>
    <t>CAA LiberiAgricoltori - PESARO E URBINO - 001</t>
  </si>
  <si>
    <t>WEISSANG FRAUKE HEDWIG</t>
  </si>
  <si>
    <t>AURA VERDE SOCIETA' AGRICOLA SEMPLICE</t>
  </si>
  <si>
    <t>AGEA.ASR.2021.1789306</t>
  </si>
  <si>
    <t>AGEA.ASR.2021.1789316</t>
  </si>
  <si>
    <t>LE BONTA' DI ACCIARRI SOCIETA' AGRICOLA A RESPONSABILITA' LIMITATA SEM</t>
  </si>
  <si>
    <t>AGEA.ASR.2021.1854302</t>
  </si>
  <si>
    <t>AYNI ASSOCIAZIONE CULTURALE DI PROMOZIONE SOCIALE</t>
  </si>
  <si>
    <t>AGEA.ASR.2021.1759981</t>
  </si>
  <si>
    <t>COMUNE DI COMUNANZA</t>
  </si>
  <si>
    <t>AGEA.ASR.2021.1760257</t>
  </si>
  <si>
    <t>COMUNE DI APPIGNANO DEL TRONTO</t>
  </si>
  <si>
    <t>AGEA.ASR.2021.1813711</t>
  </si>
  <si>
    <t>COMUNE DI ACQUASANTA TERME</t>
  </si>
  <si>
    <t>AGEA.ASR.2021.1813584</t>
  </si>
  <si>
    <t>COMUNE DI FORCE</t>
  </si>
  <si>
    <t>COMUNE DI RIPATRANSONE</t>
  </si>
  <si>
    <t>COMUNE DI SANTA VITTORIA IN MATENANO</t>
  </si>
  <si>
    <t>AGEA.ASR.2021.1813784</t>
  </si>
  <si>
    <t>AGEA.ASR.2021.1813847</t>
  </si>
  <si>
    <t>COMUNE DI FERMO</t>
  </si>
  <si>
    <t>AGEA.ASR.2021.1814041</t>
  </si>
  <si>
    <t>COMUNE DI BOLOGNOLA</t>
  </si>
  <si>
    <t>AGEA.ASR.2021.1814105</t>
  </si>
  <si>
    <t>COMUNE DI COLLI AL METAURO</t>
  </si>
  <si>
    <t>AGEA.ASR.2021.1838243</t>
  </si>
  <si>
    <t>COMUNE DI FRONTONE</t>
  </si>
  <si>
    <t>COMUNE DI MOMBAROCCIO</t>
  </si>
  <si>
    <t>COMUNE DI PERGOLA</t>
  </si>
  <si>
    <t>COMUNE DI SAN COSTANZO</t>
  </si>
  <si>
    <t>LEVA DAVIDE</t>
  </si>
  <si>
    <t>AGEA.ASR.2021.1806508</t>
  </si>
  <si>
    <t>PIERINI MARIO</t>
  </si>
  <si>
    <t>SOCIETA' AGRICOLA UNIMARCHE S.R.L.</t>
  </si>
  <si>
    <t>AGEA.ASR.2021.1806387</t>
  </si>
  <si>
    <t>BROCCOLI TIZIANA</t>
  </si>
  <si>
    <t>COMUNE DI PONZANO DI FERMO</t>
  </si>
  <si>
    <t>AGEA.ASR.2021.1760234</t>
  </si>
  <si>
    <t>SOCIETA' AGRICOLA CIGNANO SOCIETA' SEMPLICE</t>
  </si>
  <si>
    <t>CAA CIA - MACERATA - 001</t>
  </si>
  <si>
    <t>MISICI FAUSTO</t>
  </si>
  <si>
    <t>AGEA.ASR.2021.1860000</t>
  </si>
  <si>
    <t>CAA LiberiAgricoltori - MACERATA - 006</t>
  </si>
  <si>
    <t>SILVI FABIO</t>
  </si>
  <si>
    <t>CAA LiberiAgricoltori - MACERATA - 001</t>
  </si>
  <si>
    <t>VECERRICA ELISABETTA</t>
  </si>
  <si>
    <t>CAA LiberiAgricoltori - MACERATA - 003</t>
  </si>
  <si>
    <t>PISCINI MARGHERITA</t>
  </si>
  <si>
    <t>PARIS MICHELA</t>
  </si>
  <si>
    <t>CAA Coldiretti - MACERATA - 017</t>
  </si>
  <si>
    <t>CAMPETELLA ILARIA</t>
  </si>
  <si>
    <t>CAA LiberiAgricoltori - MACERATA - 002</t>
  </si>
  <si>
    <t>SCARDALA MARIA</t>
  </si>
  <si>
    <t>MARCHETTI RICCARDO</t>
  </si>
  <si>
    <t>SANTONI FRANCESCA</t>
  </si>
  <si>
    <t>ALBERTI MATTEO</t>
  </si>
  <si>
    <t>SOCIETA' AGRICOLA CASTELLO DI CORNACUNA DI PAOLETTI LUCIA E C. S.S.</t>
  </si>
  <si>
    <t>CAA CAF AGRI - MACERATA - 224</t>
  </si>
  <si>
    <t>VITI FELICE</t>
  </si>
  <si>
    <t>CAA Copagri srl</t>
  </si>
  <si>
    <t>CAA Copagri - ANCONA - 502</t>
  </si>
  <si>
    <t>TOGNONI LORENZO</t>
  </si>
  <si>
    <t>AGEA.ASR.2021.1809162</t>
  </si>
  <si>
    <t>AGEA.ASR.2021.1854312</t>
  </si>
  <si>
    <t>ROMITI JONATHAN</t>
  </si>
  <si>
    <t>AGEA.ASR.2021.1854325</t>
  </si>
  <si>
    <t>CAA Coldiretti - FERMO - 001</t>
  </si>
  <si>
    <t>MANNOCCHI GABRIELE</t>
  </si>
  <si>
    <t>AGEA.ASR.2021.1862802</t>
  </si>
  <si>
    <t>MACERATESI MASSIMO</t>
  </si>
  <si>
    <t>AGEA.ASR.2021.1797568</t>
  </si>
  <si>
    <t>CAA Coldiretti - MACERATA - 010</t>
  </si>
  <si>
    <t>AGRIMATELICA SOCIETA' AGRICOLA A R.L.</t>
  </si>
  <si>
    <t>CAA Coldiretti - MACERATA - 018</t>
  </si>
  <si>
    <t>SOCIETA' AGRICOLA RICOTTA BENEDETTO E C. S.S.</t>
  </si>
  <si>
    <t>AGEA.ASR.2021.1820510</t>
  </si>
  <si>
    <t>LOPUSAN VILIAM</t>
  </si>
  <si>
    <t>AGEA.ASR.2021.1864908</t>
  </si>
  <si>
    <t>CAA CIA - PESARO E URBINO - 002</t>
  </si>
  <si>
    <t>SANCHINI VITTORIO</t>
  </si>
  <si>
    <t>CAA CIA - PESARO E URBINO - 005</t>
  </si>
  <si>
    <t>CAPOCCI ELIO</t>
  </si>
  <si>
    <t>CAA Coldiretti - PESARO E URBINO - 008</t>
  </si>
  <si>
    <t>AZIENDA AGRICOLA F.LLI PAGNANELLI</t>
  </si>
  <si>
    <t>CAA CIA - PESARO E URBINO - 008</t>
  </si>
  <si>
    <t>RAGNI RICCARDO</t>
  </si>
  <si>
    <t>CAA Confagricoltura - MACERATA - 001</t>
  </si>
  <si>
    <t>ZACCARINI BONELLI CAMILLO</t>
  </si>
  <si>
    <t>BONOMI SILVIA</t>
  </si>
  <si>
    <t>CAA CIA - ANCONA - 005</t>
  </si>
  <si>
    <t>PISTOLA ENRICA</t>
  </si>
  <si>
    <t>CAA CIA - RIMINI - 001</t>
  </si>
  <si>
    <t>VERDIRAME SALVATORE</t>
  </si>
  <si>
    <t>CAA Confagricoltura - FORLI' - CESENA - 001</t>
  </si>
  <si>
    <t>SOCIETA' AGRICOLA ROSSI GRAZIELLA, LILLA ANNA MARIA E C. SOCIETA' SEMP</t>
  </si>
  <si>
    <t>SCOLASTICI RAIMONDO</t>
  </si>
  <si>
    <t>CAA Coldiretti - MACERATA - 008</t>
  </si>
  <si>
    <t>ZAGAGLINI PIERALBERTO</t>
  </si>
  <si>
    <t>AZIENDA AGRICOLA RESAGRI DI RESPARAMBIA LUCA E C. S.S.</t>
  </si>
  <si>
    <t>ANGELI MIRKO</t>
  </si>
  <si>
    <t>CONGIONTI AUGUSTO</t>
  </si>
  <si>
    <t>PAOLETTI JACOPO</t>
  </si>
  <si>
    <t>TESTA LUCA</t>
  </si>
  <si>
    <t>AURELI BARBARA</t>
  </si>
  <si>
    <t>CAA Confagricoltura - ASCOLI PICENO - 001</t>
  </si>
  <si>
    <t>REBEZ LAUREATI PAOLO</t>
  </si>
  <si>
    <t>AGEA.ASR.2021.1811479</t>
  </si>
  <si>
    <t>CAA Coldiretti - ASCOLI PICENO - 010</t>
  </si>
  <si>
    <t>MERCATANTI ALESSIO</t>
  </si>
  <si>
    <t>PIGOTTI RENZO</t>
  </si>
  <si>
    <t>AZIENDA AGRICOLA F.LLI MARI SOCIETA' AGRICOLA DI PAGLIARI VITTORIA, MA</t>
  </si>
  <si>
    <t>COTTINI FRANCESCO EREDI</t>
  </si>
  <si>
    <t>SPERANZINI GIAMPAOLO</t>
  </si>
  <si>
    <t>CAA Coldiretti - PESARO E URBINO - 006</t>
  </si>
  <si>
    <t>PIERUCCI GIANMICHELE</t>
  </si>
  <si>
    <t>CAA Coldiretti - ANCONA - 005</t>
  </si>
  <si>
    <t>BIZZARRI ROLANDO</t>
  </si>
  <si>
    <t>BERDUCCI ROSSANO</t>
  </si>
  <si>
    <t>PROSPERI STEFANO</t>
  </si>
  <si>
    <t>VITA SIMONE</t>
  </si>
  <si>
    <t>SOCIETA' AGRICOLA DRSILENZI S.S.</t>
  </si>
  <si>
    <t>AGEA.ASR.2021.1859231</t>
  </si>
  <si>
    <t>SOCIETA' AGRICOLA GENTILESCHI ANDREA E CONTIGIANI CINZIA S.S</t>
  </si>
  <si>
    <t>ILARI ANTINO</t>
  </si>
  <si>
    <t>SALVI GIOVANNI</t>
  </si>
  <si>
    <t>MESCHINI MARIO</t>
  </si>
  <si>
    <t>CAA Coldiretti - ASCOLI PICENO - 040</t>
  </si>
  <si>
    <t>MECOZZI VINCENZO</t>
  </si>
  <si>
    <t>CAA Confagricoltura - PESARO E URBINO - 001</t>
  </si>
  <si>
    <t>BENEDETTI LUCA</t>
  </si>
  <si>
    <t>CAA UNICAA - ANCONA - 003</t>
  </si>
  <si>
    <t>TENAGLIA MAURA</t>
  </si>
  <si>
    <t>CAA Coldiretti - PESARO E URBINO - 004</t>
  </si>
  <si>
    <t>AZ.AGR CAU &amp; SPADA DI SPADA ANTONINO E C SOC AGR</t>
  </si>
  <si>
    <t>CAA Liberi Prof.- PESARO E URBINO - 001</t>
  </si>
  <si>
    <t>AIA VECCHIA SOCIETA' AGRICOLA S.S. DI MANDRELLI CHIARA &amp; C.</t>
  </si>
  <si>
    <t>SBRICCOLI DOMENICO</t>
  </si>
  <si>
    <t>CAA Coldiretti - MACERATA - 002</t>
  </si>
  <si>
    <t>PACCUSSE GIANNI</t>
  </si>
  <si>
    <t>SOCIETA' AGRICOLA TERRA E SOLE BOSCARINI DI BOSCARINI EMANUELE &amp; C. -</t>
  </si>
  <si>
    <t>GRADL SIMON</t>
  </si>
  <si>
    <t>MAGNANI LUANA</t>
  </si>
  <si>
    <t>SOCIETA' AGRICOLA F.LLI MULAS S.S.</t>
  </si>
  <si>
    <t>SOCIETA' AGRICOLA CAU MARCELLO &amp; C. S.S.</t>
  </si>
  <si>
    <t>AZ. AGR. LUZI GIANNALBERTO - ALESSANDRO &amp; C. SOCIETA'AGRICOLA S.S.</t>
  </si>
  <si>
    <t>CAA Confagricoltura - ANCONA - 001</t>
  </si>
  <si>
    <t>SOCIETA' AGRICOLA PRATOMAGNO S.S.</t>
  </si>
  <si>
    <t>SOC.AGR.TERRA DI MONDO SRL</t>
  </si>
  <si>
    <t>ANGELICI TERZO</t>
  </si>
  <si>
    <t>PAGGI PINO</t>
  </si>
  <si>
    <t>DINI LUIGI</t>
  </si>
  <si>
    <t>RICCIONI STEFANO</t>
  </si>
  <si>
    <t>PARIS COSTANTINO</t>
  </si>
  <si>
    <t>TONELLI ANGELO</t>
  </si>
  <si>
    <t>SISTI MARIA RITA</t>
  </si>
  <si>
    <t>SILIQUINI FRANCESCO</t>
  </si>
  <si>
    <t>COMUNANZA AGRARIA DEGLI UOMINI ORIGINARI DI SERRA SANT'ABBONDIO</t>
  </si>
  <si>
    <t>UNIVERSITA' DELLE XII FAMIGLIE ORIGINARIE DI CHIASERNA</t>
  </si>
  <si>
    <t>CAA Coldiretti - PERUGIA - 005</t>
  </si>
  <si>
    <t>PARLANI FABRIZIO</t>
  </si>
  <si>
    <t>SALTARELLI LUCA</t>
  </si>
  <si>
    <t>VIRGILI MARIANNA</t>
  </si>
  <si>
    <t>SOCIETA' AGRICOLA FAGGETI DI DIOTALEVI LUANA E C. S.S.</t>
  </si>
  <si>
    <t>SOCIETA' AGRICOLA MASCIOLI MIRCO E ROBERTO S.S.</t>
  </si>
  <si>
    <t>SOCIETA' AGRICOLA COLLE BAETO S.S.</t>
  </si>
  <si>
    <t>SOCIETA' AGRICOLA MONSIGNORI S.S.</t>
  </si>
  <si>
    <t>AGEA.ASR.2021.1760021</t>
  </si>
  <si>
    <t>SOCIETA' AGRICOLA CIU' CIU' DI BARTOLOMEI MASSIMILIANO E BARTOLOMEI WA</t>
  </si>
  <si>
    <t>I QUATTRO SOCIETA' AGRICOLA SRL</t>
  </si>
  <si>
    <t>AGUZZI MARZIO</t>
  </si>
  <si>
    <t>AGEA.ASR.2021.1759343</t>
  </si>
  <si>
    <t>CAA CIA - ASCOLI PICENO - 001</t>
  </si>
  <si>
    <t>SANTOLINI SANTA SOCIETA' AGRICOLA SEMPLICE</t>
  </si>
  <si>
    <t>AGRICOLA MONTEFIORE DI LUIGI D'AMBROGI &amp; C. S.N.C.</t>
  </si>
  <si>
    <t>MAZZONI GIANNI</t>
  </si>
  <si>
    <t>CAA UNSIC - ASCOLI PICENO - 001</t>
  </si>
  <si>
    <t>GASPERI SANDRA</t>
  </si>
  <si>
    <t>MONDOMINI SOCIETA' AGRICOLA SEMPLICE</t>
  </si>
  <si>
    <t>CAA LiberiAgricoltori - MACERATA - 004</t>
  </si>
  <si>
    <t>ORTENZI FRANCESCO</t>
  </si>
  <si>
    <t>PELLICCIA GIUSEPPE</t>
  </si>
  <si>
    <t>CAA CIA - ASCOLI PICENO - 005</t>
  </si>
  <si>
    <t>MORBIDELLI MARIELLA</t>
  </si>
  <si>
    <t>COCILOVA GIOVANNI</t>
  </si>
  <si>
    <t>POMPILI PIERA</t>
  </si>
  <si>
    <t>PIERMATTEI JURI</t>
  </si>
  <si>
    <t>DEL DOTTO PARIDE</t>
  </si>
  <si>
    <t>CICCONOFRI RENZO</t>
  </si>
  <si>
    <t>BELLEGGIA FABIO</t>
  </si>
  <si>
    <t>CIPRIANI LUANA</t>
  </si>
  <si>
    <t>GERMANI MASSIMO</t>
  </si>
  <si>
    <t>ALEOTTI GIOVAN BATTISTA</t>
  </si>
  <si>
    <t>PISCINI CARLO</t>
  </si>
  <si>
    <t>AZIENDA SPECIALE CONSORZIALE DEL CATRIA</t>
  </si>
  <si>
    <t>SOCIETA' AGRICOLA EREDI CAGNUCCI DUILIO S.S.</t>
  </si>
  <si>
    <t>SOCIETA' AGRICOLA F.LLI MARCHIONNI S.S.</t>
  </si>
  <si>
    <t>CORAZZINI PAOLO</t>
  </si>
  <si>
    <t>SOCIETA' AGRICOLA CA' MARINELLO DI FILANTI EVASIO, GIOVANNI E C. S.S.</t>
  </si>
  <si>
    <t>CAA Coldiretti - ANCONA - 002</t>
  </si>
  <si>
    <t>DE ANGELIS LUCIA</t>
  </si>
  <si>
    <t>CAA Coldiretti - MACERATA - 007</t>
  </si>
  <si>
    <t>FERRARI CRISTIANA PATRIZIA</t>
  </si>
  <si>
    <t>AGEA.ASR.2021.1759964</t>
  </si>
  <si>
    <t>ROMITELLI GIACOMO</t>
  </si>
  <si>
    <t>CAA CAF AGRI - ASCOLI PICENO - 222</t>
  </si>
  <si>
    <t>PROCACCINI LUCIA</t>
  </si>
  <si>
    <t>AGEA.ASR.2021.1789325</t>
  </si>
  <si>
    <t>AGEA.ASR.2021.1789309</t>
  </si>
  <si>
    <t>AGEA.ASR.2021.1789319</t>
  </si>
  <si>
    <t>LEONI STEFANO</t>
  </si>
  <si>
    <t>AGEA.ASR.2021.1809367</t>
  </si>
  <si>
    <t>AGEA.ASR.2021.1854288</t>
  </si>
  <si>
    <t>AGEA.ASR.2021.1854317</t>
  </si>
  <si>
    <t>AGEA.ASR.2021.1760202</t>
  </si>
  <si>
    <t>AGEA.ASR.2021.1760215</t>
  </si>
  <si>
    <t>AGEA.ASR.2021.1859303</t>
  </si>
  <si>
    <t>RICCI ANNA LUISA</t>
  </si>
  <si>
    <t>AGEA.ASR.2021.1859884</t>
  </si>
  <si>
    <t>UNIONE MONTANA ALTA VALLE DEL METAURO</t>
  </si>
  <si>
    <t>AGEA.ASR.2021.1838569</t>
  </si>
  <si>
    <t>AGEA.ASR.2021.1841930</t>
  </si>
  <si>
    <t>CONFEDERAZIONE ITALIANA AGRICOLTORI DI ASCOLI PICENO, FERMO E MACERATA</t>
  </si>
  <si>
    <t>AGEA.ASR.2021.1774074</t>
  </si>
  <si>
    <t>UNIONE MONTANA DEL CATRIA E NERONE</t>
  </si>
  <si>
    <t>FLORICOLTURA CANNELLA DI PIETRO &amp; ROBERTO SOCIETA' AGRICOLA SEMPL ICE</t>
  </si>
  <si>
    <t>SANTARONI EROS</t>
  </si>
  <si>
    <t>AGEA.ASR.2021.1761393</t>
  </si>
  <si>
    <t>AGEA.ASR.2021.1761402</t>
  </si>
  <si>
    <t>AGRICOLA ROCCHETTA SOCIETA' AGRICOLA A R.L.</t>
  </si>
  <si>
    <t>AGEA.ASR.2021.1757589</t>
  </si>
  <si>
    <t>CARTAGINE VERONICA</t>
  </si>
  <si>
    <t>COMUNE DI CERRETO D'ESI</t>
  </si>
  <si>
    <t>AGEA.ASR.2021.1868830</t>
  </si>
  <si>
    <t>COMUNE DI MATELICA</t>
  </si>
  <si>
    <t>AGEA.ASR.2021.1868861</t>
  </si>
  <si>
    <t>COMUNE DI POLLENZA</t>
  </si>
  <si>
    <t>AGEA.ASR.2021.1806646</t>
  </si>
  <si>
    <t>COMUNE DI PIORACO</t>
  </si>
  <si>
    <t>AGEA.ASR.2021.1806652</t>
  </si>
  <si>
    <t>KRUSI STEFANIA CLAUDIA</t>
  </si>
  <si>
    <t>AGEA.ASR.2021.1854211</t>
  </si>
  <si>
    <t>CAVALIER GOBBI SOCIETA' AGRICOLA SEMPLICE</t>
  </si>
  <si>
    <t>CAA CIA - ASCOLI PICENO - 004</t>
  </si>
  <si>
    <t>COSSIGNANI GIONE</t>
  </si>
  <si>
    <t>AGEA.ASR.2021.1820821</t>
  </si>
  <si>
    <t>AGEA.ASR.2021.1761411</t>
  </si>
  <si>
    <t>ENTE REGIONE MARCHE</t>
  </si>
  <si>
    <t>AGEA.ASR.2021.1758091</t>
  </si>
  <si>
    <t>QUACQUARINI LANFRANCO</t>
  </si>
  <si>
    <t>MASILI GIULIO</t>
  </si>
  <si>
    <t>SOLO BUON VINO SOC.AGRICOLA S.S.</t>
  </si>
  <si>
    <t>AGEA.ASR.2021.1760108</t>
  </si>
  <si>
    <t>SCALBI GIORGIO</t>
  </si>
  <si>
    <t>AGEA.ASR.2021.1779890</t>
  </si>
  <si>
    <t>CANNAS MARIARITA</t>
  </si>
  <si>
    <t>FERRI ALESSANDRO E DAMIANI ANNA SOCIETA' SEMPLICE</t>
  </si>
  <si>
    <t>CHERRI PAOLO</t>
  </si>
  <si>
    <t>AGEA.ASR.2021.1762019</t>
  </si>
  <si>
    <t>CAVERNI FRANCESCO</t>
  </si>
  <si>
    <t>POLITI FILIPPO</t>
  </si>
  <si>
    <t>AZIENDA AGRARIA DELL'ISTITUTO TECNICO AGRARIO A.CECCHI</t>
  </si>
  <si>
    <t>CAA CIA - PESARO E URBINO - 001</t>
  </si>
  <si>
    <t>HINTEREGGER FRIEDRICH</t>
  </si>
  <si>
    <t>ROMITI GIOVANNI</t>
  </si>
  <si>
    <t>SOCIETA' AGRICOLA GUIDI RICCARDO E MATTEO S.S.</t>
  </si>
  <si>
    <t>CAA CIA - PESARO E URBINO - 006</t>
  </si>
  <si>
    <t>RENGA RICCARDO</t>
  </si>
  <si>
    <t>NICOLINI SAURO</t>
  </si>
  <si>
    <t>CIACCI PAOLO</t>
  </si>
  <si>
    <t>GUIDUCCI FABIOLA</t>
  </si>
  <si>
    <t>CAA Coldiretti - PESARO E URBINO - 007</t>
  </si>
  <si>
    <t>BUCCHI FRANCESCO</t>
  </si>
  <si>
    <t>CORDELLA MANUEL</t>
  </si>
  <si>
    <t>EREDI SALVATORE CANNAS SOCIETA' SEMPLICE AGRICOLA</t>
  </si>
  <si>
    <t>SALTARELLI MAURO</t>
  </si>
  <si>
    <t>AGEA.ASR.2021.1811513</t>
  </si>
  <si>
    <t>LAURI ROLDANO</t>
  </si>
  <si>
    <t>MURRI PROVINO</t>
  </si>
  <si>
    <t>VIRGILI MARISA</t>
  </si>
  <si>
    <t>CAA CAF AGRI - ASCOLI PICENO - 223</t>
  </si>
  <si>
    <t>SOCIETA' AGRICOLA MONTAGNOLI S.S.</t>
  </si>
  <si>
    <t>AGEA.ASR.2021.1837084</t>
  </si>
  <si>
    <t>AGEA.ASR.2021.1760250</t>
  </si>
  <si>
    <t>COMUNE DI COSSIGNANO</t>
  </si>
  <si>
    <t>COMUNE DI OFFIDA</t>
  </si>
  <si>
    <t>COMUNE DI ROTELLA</t>
  </si>
  <si>
    <t>SABBATINI MATTEO</t>
  </si>
  <si>
    <t>AGEA.ASR.2021.1862818</t>
  </si>
  <si>
    <t>CAA CAF AGRI - ANCONA - 225</t>
  </si>
  <si>
    <t>CESARONI CLAUDIO</t>
  </si>
  <si>
    <t>SOCIETA' AGRICOLA ANGELI SOCIETA' SEMPLICE</t>
  </si>
  <si>
    <t>SOCIETA' SEMPLICE AGRICOLA LA QUERCIA DI COLOMBANO</t>
  </si>
  <si>
    <t>CAA C.A.N.A.P.A. - MACERATA - 001</t>
  </si>
  <si>
    <t>SOCIETA' AGRICOLA CARPINETI S.S.</t>
  </si>
  <si>
    <t>BONIFAZI ADRIANO</t>
  </si>
  <si>
    <t>CAA AGRISERVIZI - LATINA - 001</t>
  </si>
  <si>
    <t>GALANTI GIORGIO</t>
  </si>
  <si>
    <t>MANCINI BERARDINO</t>
  </si>
  <si>
    <t>SEBASTIANI DAMIANO</t>
  </si>
  <si>
    <t>STIGLIANO SOCIETA' COOPERATIVA AGRICOLA</t>
  </si>
  <si>
    <t>SOCIETA' AGRICOLA COSIMI S.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</si>
</sst>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50A6-1B35-4A9F-929E-B08EBB555898}">
  <dimension ref="A1:Z244"/>
  <sheetViews>
    <sheetView showGridLines="0" tabSelected="1" workbookViewId="0">
      <selection activeCell="F245" sqref="F245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726562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4.63281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11.54296875" bestFit="1" customWidth="1"/>
    <col min="260" max="260" width="27.7265625" bestFit="1" customWidth="1"/>
    <col min="261" max="261" width="20.36328125" bestFit="1" customWidth="1"/>
    <col min="262" max="262" width="26.7265625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4.6328125" customWidth="1"/>
    <col min="270" max="270" width="34.90625" bestFit="1" customWidth="1"/>
    <col min="271" max="271" width="11.816406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11.54296875" bestFit="1" customWidth="1"/>
    <col min="516" max="516" width="27.7265625" bestFit="1" customWidth="1"/>
    <col min="517" max="517" width="20.36328125" bestFit="1" customWidth="1"/>
    <col min="518" max="518" width="26.7265625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4.6328125" customWidth="1"/>
    <col min="526" max="526" width="34.90625" bestFit="1" customWidth="1"/>
    <col min="527" max="527" width="11.816406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11.54296875" bestFit="1" customWidth="1"/>
    <col min="772" max="772" width="27.7265625" bestFit="1" customWidth="1"/>
    <col min="773" max="773" width="20.36328125" bestFit="1" customWidth="1"/>
    <col min="774" max="774" width="26.7265625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4.6328125" customWidth="1"/>
    <col min="782" max="782" width="34.90625" bestFit="1" customWidth="1"/>
    <col min="783" max="783" width="11.816406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11.54296875" bestFit="1" customWidth="1"/>
    <col min="1028" max="1028" width="27.7265625" bestFit="1" customWidth="1"/>
    <col min="1029" max="1029" width="20.36328125" bestFit="1" customWidth="1"/>
    <col min="1030" max="1030" width="26.7265625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4.6328125" customWidth="1"/>
    <col min="1038" max="1038" width="34.90625" bestFit="1" customWidth="1"/>
    <col min="1039" max="1039" width="11.816406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11.54296875" bestFit="1" customWidth="1"/>
    <col min="1284" max="1284" width="27.7265625" bestFit="1" customWidth="1"/>
    <col min="1285" max="1285" width="20.36328125" bestFit="1" customWidth="1"/>
    <col min="1286" max="1286" width="26.7265625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4.6328125" customWidth="1"/>
    <col min="1294" max="1294" width="34.90625" bestFit="1" customWidth="1"/>
    <col min="1295" max="1295" width="11.816406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11.54296875" bestFit="1" customWidth="1"/>
    <col min="1540" max="1540" width="27.7265625" bestFit="1" customWidth="1"/>
    <col min="1541" max="1541" width="20.36328125" bestFit="1" customWidth="1"/>
    <col min="1542" max="1542" width="26.7265625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4.6328125" customWidth="1"/>
    <col min="1550" max="1550" width="34.90625" bestFit="1" customWidth="1"/>
    <col min="1551" max="1551" width="11.816406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11.54296875" bestFit="1" customWidth="1"/>
    <col min="1796" max="1796" width="27.7265625" bestFit="1" customWidth="1"/>
    <col min="1797" max="1797" width="20.36328125" bestFit="1" customWidth="1"/>
    <col min="1798" max="1798" width="26.7265625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4.6328125" customWidth="1"/>
    <col min="1806" max="1806" width="34.90625" bestFit="1" customWidth="1"/>
    <col min="1807" max="1807" width="11.816406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11.54296875" bestFit="1" customWidth="1"/>
    <col min="2052" max="2052" width="27.7265625" bestFit="1" customWidth="1"/>
    <col min="2053" max="2053" width="20.36328125" bestFit="1" customWidth="1"/>
    <col min="2054" max="2054" width="26.7265625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4.6328125" customWidth="1"/>
    <col min="2062" max="2062" width="34.90625" bestFit="1" customWidth="1"/>
    <col min="2063" max="2063" width="11.816406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11.54296875" bestFit="1" customWidth="1"/>
    <col min="2308" max="2308" width="27.7265625" bestFit="1" customWidth="1"/>
    <col min="2309" max="2309" width="20.36328125" bestFit="1" customWidth="1"/>
    <col min="2310" max="2310" width="26.7265625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4.6328125" customWidth="1"/>
    <col min="2318" max="2318" width="34.90625" bestFit="1" customWidth="1"/>
    <col min="2319" max="2319" width="11.816406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11.54296875" bestFit="1" customWidth="1"/>
    <col min="2564" max="2564" width="27.7265625" bestFit="1" customWidth="1"/>
    <col min="2565" max="2565" width="20.36328125" bestFit="1" customWidth="1"/>
    <col min="2566" max="2566" width="26.7265625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4.6328125" customWidth="1"/>
    <col min="2574" max="2574" width="34.90625" bestFit="1" customWidth="1"/>
    <col min="2575" max="2575" width="11.816406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11.54296875" bestFit="1" customWidth="1"/>
    <col min="2820" max="2820" width="27.7265625" bestFit="1" customWidth="1"/>
    <col min="2821" max="2821" width="20.36328125" bestFit="1" customWidth="1"/>
    <col min="2822" max="2822" width="26.7265625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4.6328125" customWidth="1"/>
    <col min="2830" max="2830" width="34.90625" bestFit="1" customWidth="1"/>
    <col min="2831" max="2831" width="11.816406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11.54296875" bestFit="1" customWidth="1"/>
    <col min="3076" max="3076" width="27.7265625" bestFit="1" customWidth="1"/>
    <col min="3077" max="3077" width="20.36328125" bestFit="1" customWidth="1"/>
    <col min="3078" max="3078" width="26.7265625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4.6328125" customWidth="1"/>
    <col min="3086" max="3086" width="34.90625" bestFit="1" customWidth="1"/>
    <col min="3087" max="3087" width="11.816406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11.54296875" bestFit="1" customWidth="1"/>
    <col min="3332" max="3332" width="27.7265625" bestFit="1" customWidth="1"/>
    <col min="3333" max="3333" width="20.36328125" bestFit="1" customWidth="1"/>
    <col min="3334" max="3334" width="26.7265625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4.6328125" customWidth="1"/>
    <col min="3342" max="3342" width="34.90625" bestFit="1" customWidth="1"/>
    <col min="3343" max="3343" width="11.816406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11.54296875" bestFit="1" customWidth="1"/>
    <col min="3588" max="3588" width="27.7265625" bestFit="1" customWidth="1"/>
    <col min="3589" max="3589" width="20.36328125" bestFit="1" customWidth="1"/>
    <col min="3590" max="3590" width="26.7265625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4.6328125" customWidth="1"/>
    <col min="3598" max="3598" width="34.90625" bestFit="1" customWidth="1"/>
    <col min="3599" max="3599" width="11.816406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11.54296875" bestFit="1" customWidth="1"/>
    <col min="3844" max="3844" width="27.7265625" bestFit="1" customWidth="1"/>
    <col min="3845" max="3845" width="20.36328125" bestFit="1" customWidth="1"/>
    <col min="3846" max="3846" width="26.7265625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4.6328125" customWidth="1"/>
    <col min="3854" max="3854" width="34.90625" bestFit="1" customWidth="1"/>
    <col min="3855" max="3855" width="11.816406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11.54296875" bestFit="1" customWidth="1"/>
    <col min="4100" max="4100" width="27.7265625" bestFit="1" customWidth="1"/>
    <col min="4101" max="4101" width="20.36328125" bestFit="1" customWidth="1"/>
    <col min="4102" max="4102" width="26.7265625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4.6328125" customWidth="1"/>
    <col min="4110" max="4110" width="34.90625" bestFit="1" customWidth="1"/>
    <col min="4111" max="4111" width="11.816406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11.54296875" bestFit="1" customWidth="1"/>
    <col min="4356" max="4356" width="27.7265625" bestFit="1" customWidth="1"/>
    <col min="4357" max="4357" width="20.36328125" bestFit="1" customWidth="1"/>
    <col min="4358" max="4358" width="26.7265625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4.6328125" customWidth="1"/>
    <col min="4366" max="4366" width="34.90625" bestFit="1" customWidth="1"/>
    <col min="4367" max="4367" width="11.816406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11.54296875" bestFit="1" customWidth="1"/>
    <col min="4612" max="4612" width="27.7265625" bestFit="1" customWidth="1"/>
    <col min="4613" max="4613" width="20.36328125" bestFit="1" customWidth="1"/>
    <col min="4614" max="4614" width="26.7265625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4.6328125" customWidth="1"/>
    <col min="4622" max="4622" width="34.90625" bestFit="1" customWidth="1"/>
    <col min="4623" max="4623" width="11.816406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11.54296875" bestFit="1" customWidth="1"/>
    <col min="4868" max="4868" width="27.7265625" bestFit="1" customWidth="1"/>
    <col min="4869" max="4869" width="20.36328125" bestFit="1" customWidth="1"/>
    <col min="4870" max="4870" width="26.7265625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4.6328125" customWidth="1"/>
    <col min="4878" max="4878" width="34.90625" bestFit="1" customWidth="1"/>
    <col min="4879" max="4879" width="11.816406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11.54296875" bestFit="1" customWidth="1"/>
    <col min="5124" max="5124" width="27.7265625" bestFit="1" customWidth="1"/>
    <col min="5125" max="5125" width="20.36328125" bestFit="1" customWidth="1"/>
    <col min="5126" max="5126" width="26.7265625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4.6328125" customWidth="1"/>
    <col min="5134" max="5134" width="34.90625" bestFit="1" customWidth="1"/>
    <col min="5135" max="5135" width="11.816406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11.54296875" bestFit="1" customWidth="1"/>
    <col min="5380" max="5380" width="27.7265625" bestFit="1" customWidth="1"/>
    <col min="5381" max="5381" width="20.36328125" bestFit="1" customWidth="1"/>
    <col min="5382" max="5382" width="26.7265625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4.6328125" customWidth="1"/>
    <col min="5390" max="5390" width="34.90625" bestFit="1" customWidth="1"/>
    <col min="5391" max="5391" width="11.816406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11.54296875" bestFit="1" customWidth="1"/>
    <col min="5636" max="5636" width="27.7265625" bestFit="1" customWidth="1"/>
    <col min="5637" max="5637" width="20.36328125" bestFit="1" customWidth="1"/>
    <col min="5638" max="5638" width="26.7265625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4.6328125" customWidth="1"/>
    <col min="5646" max="5646" width="34.90625" bestFit="1" customWidth="1"/>
    <col min="5647" max="5647" width="11.816406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11.54296875" bestFit="1" customWidth="1"/>
    <col min="5892" max="5892" width="27.7265625" bestFit="1" customWidth="1"/>
    <col min="5893" max="5893" width="20.36328125" bestFit="1" customWidth="1"/>
    <col min="5894" max="5894" width="26.7265625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4.6328125" customWidth="1"/>
    <col min="5902" max="5902" width="34.90625" bestFit="1" customWidth="1"/>
    <col min="5903" max="5903" width="11.816406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11.54296875" bestFit="1" customWidth="1"/>
    <col min="6148" max="6148" width="27.7265625" bestFit="1" customWidth="1"/>
    <col min="6149" max="6149" width="20.36328125" bestFit="1" customWidth="1"/>
    <col min="6150" max="6150" width="26.7265625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4.6328125" customWidth="1"/>
    <col min="6158" max="6158" width="34.90625" bestFit="1" customWidth="1"/>
    <col min="6159" max="6159" width="11.816406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11.54296875" bestFit="1" customWidth="1"/>
    <col min="6404" max="6404" width="27.7265625" bestFit="1" customWidth="1"/>
    <col min="6405" max="6405" width="20.36328125" bestFit="1" customWidth="1"/>
    <col min="6406" max="6406" width="26.7265625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4.6328125" customWidth="1"/>
    <col min="6414" max="6414" width="34.90625" bestFit="1" customWidth="1"/>
    <col min="6415" max="6415" width="11.816406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11.54296875" bestFit="1" customWidth="1"/>
    <col min="6660" max="6660" width="27.7265625" bestFit="1" customWidth="1"/>
    <col min="6661" max="6661" width="20.36328125" bestFit="1" customWidth="1"/>
    <col min="6662" max="6662" width="26.7265625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4.6328125" customWidth="1"/>
    <col min="6670" max="6670" width="34.90625" bestFit="1" customWidth="1"/>
    <col min="6671" max="6671" width="11.816406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11.54296875" bestFit="1" customWidth="1"/>
    <col min="6916" max="6916" width="27.7265625" bestFit="1" customWidth="1"/>
    <col min="6917" max="6917" width="20.36328125" bestFit="1" customWidth="1"/>
    <col min="6918" max="6918" width="26.7265625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4.6328125" customWidth="1"/>
    <col min="6926" max="6926" width="34.90625" bestFit="1" customWidth="1"/>
    <col min="6927" max="6927" width="11.816406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11.54296875" bestFit="1" customWidth="1"/>
    <col min="7172" max="7172" width="27.7265625" bestFit="1" customWidth="1"/>
    <col min="7173" max="7173" width="20.36328125" bestFit="1" customWidth="1"/>
    <col min="7174" max="7174" width="26.7265625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4.6328125" customWidth="1"/>
    <col min="7182" max="7182" width="34.90625" bestFit="1" customWidth="1"/>
    <col min="7183" max="7183" width="11.816406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11.54296875" bestFit="1" customWidth="1"/>
    <col min="7428" max="7428" width="27.7265625" bestFit="1" customWidth="1"/>
    <col min="7429" max="7429" width="20.36328125" bestFit="1" customWidth="1"/>
    <col min="7430" max="7430" width="26.7265625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4.6328125" customWidth="1"/>
    <col min="7438" max="7438" width="34.90625" bestFit="1" customWidth="1"/>
    <col min="7439" max="7439" width="11.816406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11.54296875" bestFit="1" customWidth="1"/>
    <col min="7684" max="7684" width="27.7265625" bestFit="1" customWidth="1"/>
    <col min="7685" max="7685" width="20.36328125" bestFit="1" customWidth="1"/>
    <col min="7686" max="7686" width="26.7265625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4.6328125" customWidth="1"/>
    <col min="7694" max="7694" width="34.90625" bestFit="1" customWidth="1"/>
    <col min="7695" max="7695" width="11.816406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11.54296875" bestFit="1" customWidth="1"/>
    <col min="7940" max="7940" width="27.7265625" bestFit="1" customWidth="1"/>
    <col min="7941" max="7941" width="20.36328125" bestFit="1" customWidth="1"/>
    <col min="7942" max="7942" width="26.7265625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4.6328125" customWidth="1"/>
    <col min="7950" max="7950" width="34.90625" bestFit="1" customWidth="1"/>
    <col min="7951" max="7951" width="11.816406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11.54296875" bestFit="1" customWidth="1"/>
    <col min="8196" max="8196" width="27.7265625" bestFit="1" customWidth="1"/>
    <col min="8197" max="8197" width="20.36328125" bestFit="1" customWidth="1"/>
    <col min="8198" max="8198" width="26.7265625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4.6328125" customWidth="1"/>
    <col min="8206" max="8206" width="34.90625" bestFit="1" customWidth="1"/>
    <col min="8207" max="8207" width="11.816406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11.54296875" bestFit="1" customWidth="1"/>
    <col min="8452" max="8452" width="27.7265625" bestFit="1" customWidth="1"/>
    <col min="8453" max="8453" width="20.36328125" bestFit="1" customWidth="1"/>
    <col min="8454" max="8454" width="26.7265625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4.6328125" customWidth="1"/>
    <col min="8462" max="8462" width="34.90625" bestFit="1" customWidth="1"/>
    <col min="8463" max="8463" width="11.816406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11.54296875" bestFit="1" customWidth="1"/>
    <col min="8708" max="8708" width="27.7265625" bestFit="1" customWidth="1"/>
    <col min="8709" max="8709" width="20.36328125" bestFit="1" customWidth="1"/>
    <col min="8710" max="8710" width="26.7265625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4.6328125" customWidth="1"/>
    <col min="8718" max="8718" width="34.90625" bestFit="1" customWidth="1"/>
    <col min="8719" max="8719" width="11.816406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11.54296875" bestFit="1" customWidth="1"/>
    <col min="8964" max="8964" width="27.7265625" bestFit="1" customWidth="1"/>
    <col min="8965" max="8965" width="20.36328125" bestFit="1" customWidth="1"/>
    <col min="8966" max="8966" width="26.7265625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4.6328125" customWidth="1"/>
    <col min="8974" max="8974" width="34.90625" bestFit="1" customWidth="1"/>
    <col min="8975" max="8975" width="11.816406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11.54296875" bestFit="1" customWidth="1"/>
    <col min="9220" max="9220" width="27.7265625" bestFit="1" customWidth="1"/>
    <col min="9221" max="9221" width="20.36328125" bestFit="1" customWidth="1"/>
    <col min="9222" max="9222" width="26.7265625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4.6328125" customWidth="1"/>
    <col min="9230" max="9230" width="34.90625" bestFit="1" customWidth="1"/>
    <col min="9231" max="9231" width="11.816406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11.54296875" bestFit="1" customWidth="1"/>
    <col min="9476" max="9476" width="27.7265625" bestFit="1" customWidth="1"/>
    <col min="9477" max="9477" width="20.36328125" bestFit="1" customWidth="1"/>
    <col min="9478" max="9478" width="26.7265625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4.6328125" customWidth="1"/>
    <col min="9486" max="9486" width="34.90625" bestFit="1" customWidth="1"/>
    <col min="9487" max="9487" width="11.816406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11.54296875" bestFit="1" customWidth="1"/>
    <col min="9732" max="9732" width="27.7265625" bestFit="1" customWidth="1"/>
    <col min="9733" max="9733" width="20.36328125" bestFit="1" customWidth="1"/>
    <col min="9734" max="9734" width="26.7265625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4.6328125" customWidth="1"/>
    <col min="9742" max="9742" width="34.90625" bestFit="1" customWidth="1"/>
    <col min="9743" max="9743" width="11.816406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11.54296875" bestFit="1" customWidth="1"/>
    <col min="9988" max="9988" width="27.7265625" bestFit="1" customWidth="1"/>
    <col min="9989" max="9989" width="20.36328125" bestFit="1" customWidth="1"/>
    <col min="9990" max="9990" width="26.7265625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4.6328125" customWidth="1"/>
    <col min="9998" max="9998" width="34.90625" bestFit="1" customWidth="1"/>
    <col min="9999" max="9999" width="11.816406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11.54296875" bestFit="1" customWidth="1"/>
    <col min="10244" max="10244" width="27.7265625" bestFit="1" customWidth="1"/>
    <col min="10245" max="10245" width="20.36328125" bestFit="1" customWidth="1"/>
    <col min="10246" max="10246" width="26.7265625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4.6328125" customWidth="1"/>
    <col min="10254" max="10254" width="34.90625" bestFit="1" customWidth="1"/>
    <col min="10255" max="10255" width="11.816406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11.54296875" bestFit="1" customWidth="1"/>
    <col min="10500" max="10500" width="27.7265625" bestFit="1" customWidth="1"/>
    <col min="10501" max="10501" width="20.36328125" bestFit="1" customWidth="1"/>
    <col min="10502" max="10502" width="26.7265625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4.6328125" customWidth="1"/>
    <col min="10510" max="10510" width="34.90625" bestFit="1" customWidth="1"/>
    <col min="10511" max="10511" width="11.816406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11.54296875" bestFit="1" customWidth="1"/>
    <col min="10756" max="10756" width="27.7265625" bestFit="1" customWidth="1"/>
    <col min="10757" max="10757" width="20.36328125" bestFit="1" customWidth="1"/>
    <col min="10758" max="10758" width="26.7265625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4.6328125" customWidth="1"/>
    <col min="10766" max="10766" width="34.90625" bestFit="1" customWidth="1"/>
    <col min="10767" max="10767" width="11.816406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11.54296875" bestFit="1" customWidth="1"/>
    <col min="11012" max="11012" width="27.7265625" bestFit="1" customWidth="1"/>
    <col min="11013" max="11013" width="20.36328125" bestFit="1" customWidth="1"/>
    <col min="11014" max="11014" width="26.7265625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4.6328125" customWidth="1"/>
    <col min="11022" max="11022" width="34.90625" bestFit="1" customWidth="1"/>
    <col min="11023" max="11023" width="11.816406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11.54296875" bestFit="1" customWidth="1"/>
    <col min="11268" max="11268" width="27.7265625" bestFit="1" customWidth="1"/>
    <col min="11269" max="11269" width="20.36328125" bestFit="1" customWidth="1"/>
    <col min="11270" max="11270" width="26.7265625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4.6328125" customWidth="1"/>
    <col min="11278" max="11278" width="34.90625" bestFit="1" customWidth="1"/>
    <col min="11279" max="11279" width="11.816406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11.54296875" bestFit="1" customWidth="1"/>
    <col min="11524" max="11524" width="27.7265625" bestFit="1" customWidth="1"/>
    <col min="11525" max="11525" width="20.36328125" bestFit="1" customWidth="1"/>
    <col min="11526" max="11526" width="26.7265625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4.6328125" customWidth="1"/>
    <col min="11534" max="11534" width="34.90625" bestFit="1" customWidth="1"/>
    <col min="11535" max="11535" width="11.816406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11.54296875" bestFit="1" customWidth="1"/>
    <col min="11780" max="11780" width="27.7265625" bestFit="1" customWidth="1"/>
    <col min="11781" max="11781" width="20.36328125" bestFit="1" customWidth="1"/>
    <col min="11782" max="11782" width="26.7265625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4.6328125" customWidth="1"/>
    <col min="11790" max="11790" width="34.90625" bestFit="1" customWidth="1"/>
    <col min="11791" max="11791" width="11.816406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11.54296875" bestFit="1" customWidth="1"/>
    <col min="12036" max="12036" width="27.7265625" bestFit="1" customWidth="1"/>
    <col min="12037" max="12037" width="20.36328125" bestFit="1" customWidth="1"/>
    <col min="12038" max="12038" width="26.7265625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4.6328125" customWidth="1"/>
    <col min="12046" max="12046" width="34.90625" bestFit="1" customWidth="1"/>
    <col min="12047" max="12047" width="11.816406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11.54296875" bestFit="1" customWidth="1"/>
    <col min="12292" max="12292" width="27.7265625" bestFit="1" customWidth="1"/>
    <col min="12293" max="12293" width="20.36328125" bestFit="1" customWidth="1"/>
    <col min="12294" max="12294" width="26.7265625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4.6328125" customWidth="1"/>
    <col min="12302" max="12302" width="34.90625" bestFit="1" customWidth="1"/>
    <col min="12303" max="12303" width="11.816406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11.54296875" bestFit="1" customWidth="1"/>
    <col min="12548" max="12548" width="27.7265625" bestFit="1" customWidth="1"/>
    <col min="12549" max="12549" width="20.36328125" bestFit="1" customWidth="1"/>
    <col min="12550" max="12550" width="26.7265625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4.6328125" customWidth="1"/>
    <col min="12558" max="12558" width="34.90625" bestFit="1" customWidth="1"/>
    <col min="12559" max="12559" width="11.816406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11.54296875" bestFit="1" customWidth="1"/>
    <col min="12804" max="12804" width="27.7265625" bestFit="1" customWidth="1"/>
    <col min="12805" max="12805" width="20.36328125" bestFit="1" customWidth="1"/>
    <col min="12806" max="12806" width="26.7265625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4.6328125" customWidth="1"/>
    <col min="12814" max="12814" width="34.90625" bestFit="1" customWidth="1"/>
    <col min="12815" max="12815" width="11.816406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11.54296875" bestFit="1" customWidth="1"/>
    <col min="13060" max="13060" width="27.7265625" bestFit="1" customWidth="1"/>
    <col min="13061" max="13061" width="20.36328125" bestFit="1" customWidth="1"/>
    <col min="13062" max="13062" width="26.7265625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4.6328125" customWidth="1"/>
    <col min="13070" max="13070" width="34.90625" bestFit="1" customWidth="1"/>
    <col min="13071" max="13071" width="11.816406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11.54296875" bestFit="1" customWidth="1"/>
    <col min="13316" max="13316" width="27.7265625" bestFit="1" customWidth="1"/>
    <col min="13317" max="13317" width="20.36328125" bestFit="1" customWidth="1"/>
    <col min="13318" max="13318" width="26.7265625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4.6328125" customWidth="1"/>
    <col min="13326" max="13326" width="34.90625" bestFit="1" customWidth="1"/>
    <col min="13327" max="13327" width="11.816406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11.54296875" bestFit="1" customWidth="1"/>
    <col min="13572" max="13572" width="27.7265625" bestFit="1" customWidth="1"/>
    <col min="13573" max="13573" width="20.36328125" bestFit="1" customWidth="1"/>
    <col min="13574" max="13574" width="26.7265625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4.6328125" customWidth="1"/>
    <col min="13582" max="13582" width="34.90625" bestFit="1" customWidth="1"/>
    <col min="13583" max="13583" width="11.816406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11.54296875" bestFit="1" customWidth="1"/>
    <col min="13828" max="13828" width="27.7265625" bestFit="1" customWidth="1"/>
    <col min="13829" max="13829" width="20.36328125" bestFit="1" customWidth="1"/>
    <col min="13830" max="13830" width="26.7265625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4.6328125" customWidth="1"/>
    <col min="13838" max="13838" width="34.90625" bestFit="1" customWidth="1"/>
    <col min="13839" max="13839" width="11.816406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11.54296875" bestFit="1" customWidth="1"/>
    <col min="14084" max="14084" width="27.7265625" bestFit="1" customWidth="1"/>
    <col min="14085" max="14085" width="20.36328125" bestFit="1" customWidth="1"/>
    <col min="14086" max="14086" width="26.7265625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4.6328125" customWidth="1"/>
    <col min="14094" max="14094" width="34.90625" bestFit="1" customWidth="1"/>
    <col min="14095" max="14095" width="11.816406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11.54296875" bestFit="1" customWidth="1"/>
    <col min="14340" max="14340" width="27.7265625" bestFit="1" customWidth="1"/>
    <col min="14341" max="14341" width="20.36328125" bestFit="1" customWidth="1"/>
    <col min="14342" max="14342" width="26.7265625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4.6328125" customWidth="1"/>
    <col min="14350" max="14350" width="34.90625" bestFit="1" customWidth="1"/>
    <col min="14351" max="14351" width="11.816406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11.54296875" bestFit="1" customWidth="1"/>
    <col min="14596" max="14596" width="27.7265625" bestFit="1" customWidth="1"/>
    <col min="14597" max="14597" width="20.36328125" bestFit="1" customWidth="1"/>
    <col min="14598" max="14598" width="26.7265625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4.6328125" customWidth="1"/>
    <col min="14606" max="14606" width="34.90625" bestFit="1" customWidth="1"/>
    <col min="14607" max="14607" width="11.816406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11.54296875" bestFit="1" customWidth="1"/>
    <col min="14852" max="14852" width="27.7265625" bestFit="1" customWidth="1"/>
    <col min="14853" max="14853" width="20.36328125" bestFit="1" customWidth="1"/>
    <col min="14854" max="14854" width="26.7265625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4.6328125" customWidth="1"/>
    <col min="14862" max="14862" width="34.90625" bestFit="1" customWidth="1"/>
    <col min="14863" max="14863" width="11.816406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11.54296875" bestFit="1" customWidth="1"/>
    <col min="15108" max="15108" width="27.7265625" bestFit="1" customWidth="1"/>
    <col min="15109" max="15109" width="20.36328125" bestFit="1" customWidth="1"/>
    <col min="15110" max="15110" width="26.7265625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4.6328125" customWidth="1"/>
    <col min="15118" max="15118" width="34.90625" bestFit="1" customWidth="1"/>
    <col min="15119" max="15119" width="11.816406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11.54296875" bestFit="1" customWidth="1"/>
    <col min="15364" max="15364" width="27.7265625" bestFit="1" customWidth="1"/>
    <col min="15365" max="15365" width="20.36328125" bestFit="1" customWidth="1"/>
    <col min="15366" max="15366" width="26.7265625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4.6328125" customWidth="1"/>
    <col min="15374" max="15374" width="34.90625" bestFit="1" customWidth="1"/>
    <col min="15375" max="15375" width="11.816406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11.54296875" bestFit="1" customWidth="1"/>
    <col min="15620" max="15620" width="27.7265625" bestFit="1" customWidth="1"/>
    <col min="15621" max="15621" width="20.36328125" bestFit="1" customWidth="1"/>
    <col min="15622" max="15622" width="26.7265625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4.6328125" customWidth="1"/>
    <col min="15630" max="15630" width="34.90625" bestFit="1" customWidth="1"/>
    <col min="15631" max="15631" width="11.816406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11.54296875" bestFit="1" customWidth="1"/>
    <col min="15876" max="15876" width="27.7265625" bestFit="1" customWidth="1"/>
    <col min="15877" max="15877" width="20.36328125" bestFit="1" customWidth="1"/>
    <col min="15878" max="15878" width="26.7265625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4.6328125" customWidth="1"/>
    <col min="15886" max="15886" width="34.90625" bestFit="1" customWidth="1"/>
    <col min="15887" max="15887" width="11.816406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11.54296875" bestFit="1" customWidth="1"/>
    <col min="16132" max="16132" width="27.7265625" bestFit="1" customWidth="1"/>
    <col min="16133" max="16133" width="20.36328125" bestFit="1" customWidth="1"/>
    <col min="16134" max="16134" width="26.7265625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4.6328125" customWidth="1"/>
    <col min="16142" max="16142" width="34.90625" bestFit="1" customWidth="1"/>
    <col min="16143" max="16143" width="11.816406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50</v>
      </c>
      <c r="D4" s="7" t="s">
        <v>51</v>
      </c>
      <c r="E4" s="7" t="s">
        <v>38</v>
      </c>
      <c r="F4" s="7" t="s">
        <v>52</v>
      </c>
      <c r="G4" s="7">
        <v>2017</v>
      </c>
      <c r="H4" s="7" t="str">
        <f>CONCATENATE("14270339493")</f>
        <v>14270339493</v>
      </c>
      <c r="I4" s="7" t="s">
        <v>30</v>
      </c>
      <c r="J4" s="7" t="s">
        <v>31</v>
      </c>
      <c r="K4" s="7" t="str">
        <f>CONCATENATE("")</f>
        <v/>
      </c>
      <c r="L4" s="7" t="str">
        <f>CONCATENATE("16 16.1 2a")</f>
        <v>16 16.1 2a</v>
      </c>
      <c r="M4" s="7" t="str">
        <f>CONCATENATE("00283690428")</f>
        <v>00283690428</v>
      </c>
      <c r="N4" s="7" t="s">
        <v>53</v>
      </c>
      <c r="O4" s="7" t="s">
        <v>54</v>
      </c>
      <c r="P4" s="8">
        <v>44537</v>
      </c>
      <c r="Q4" s="7" t="s">
        <v>32</v>
      </c>
      <c r="R4" s="7" t="s">
        <v>47</v>
      </c>
      <c r="S4" s="7" t="s">
        <v>34</v>
      </c>
      <c r="T4" s="7"/>
      <c r="U4" s="7" t="s">
        <v>35</v>
      </c>
      <c r="V4" s="9">
        <v>199626.32</v>
      </c>
      <c r="W4" s="9">
        <v>86078.87</v>
      </c>
      <c r="X4" s="9">
        <v>79491.199999999997</v>
      </c>
      <c r="Y4" s="7">
        <v>0</v>
      </c>
      <c r="Z4" s="9">
        <v>34056.25</v>
      </c>
    </row>
    <row r="5" spans="1:26" x14ac:dyDescent="0.35">
      <c r="A5" s="7" t="s">
        <v>27</v>
      </c>
      <c r="B5" s="7" t="s">
        <v>28</v>
      </c>
      <c r="C5" s="7" t="s">
        <v>50</v>
      </c>
      <c r="D5" s="7" t="s">
        <v>55</v>
      </c>
      <c r="E5" s="7" t="s">
        <v>29</v>
      </c>
      <c r="F5" s="7" t="s">
        <v>56</v>
      </c>
      <c r="G5" s="7">
        <v>2017</v>
      </c>
      <c r="H5" s="7" t="str">
        <f>CONCATENATE("14270312565")</f>
        <v>14270312565</v>
      </c>
      <c r="I5" s="7" t="s">
        <v>30</v>
      </c>
      <c r="J5" s="7" t="s">
        <v>31</v>
      </c>
      <c r="K5" s="7" t="str">
        <f>CONCATENATE("")</f>
        <v/>
      </c>
      <c r="L5" s="7" t="str">
        <f>CONCATENATE("4 4.1 2a")</f>
        <v>4 4.1 2a</v>
      </c>
      <c r="M5" s="7" t="str">
        <f>CONCATENATE("LCRRRT66C05B846G")</f>
        <v>LCRRRT66C05B846G</v>
      </c>
      <c r="N5" s="7" t="s">
        <v>57</v>
      </c>
      <c r="O5" s="7" t="s">
        <v>58</v>
      </c>
      <c r="P5" s="8">
        <v>44518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72418.600000000006</v>
      </c>
      <c r="W5" s="9">
        <v>31226.9</v>
      </c>
      <c r="X5" s="9">
        <v>28837.09</v>
      </c>
      <c r="Y5" s="7">
        <v>0</v>
      </c>
      <c r="Z5" s="9">
        <v>12354.61</v>
      </c>
    </row>
    <row r="6" spans="1:26" x14ac:dyDescent="0.35">
      <c r="A6" s="7" t="s">
        <v>27</v>
      </c>
      <c r="B6" s="7" t="s">
        <v>28</v>
      </c>
      <c r="C6" s="7" t="s">
        <v>50</v>
      </c>
      <c r="D6" s="7" t="s">
        <v>59</v>
      </c>
      <c r="E6" s="7" t="s">
        <v>29</v>
      </c>
      <c r="F6" s="7" t="s">
        <v>60</v>
      </c>
      <c r="G6" s="7">
        <v>2017</v>
      </c>
      <c r="H6" s="7" t="str">
        <f>CONCATENATE("14270312508")</f>
        <v>14270312508</v>
      </c>
      <c r="I6" s="7" t="s">
        <v>30</v>
      </c>
      <c r="J6" s="7" t="s">
        <v>31</v>
      </c>
      <c r="K6" s="7" t="str">
        <f>CONCATENATE("")</f>
        <v/>
      </c>
      <c r="L6" s="7" t="str">
        <f>CONCATENATE("4 4.1 2a")</f>
        <v>4 4.1 2a</v>
      </c>
      <c r="M6" s="7" t="str">
        <f>CONCATENATE("VLNVRN78A50D542K")</f>
        <v>VLNVRN78A50D542K</v>
      </c>
      <c r="N6" s="7" t="s">
        <v>61</v>
      </c>
      <c r="O6" s="7" t="s">
        <v>62</v>
      </c>
      <c r="P6" s="8">
        <v>44515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15997.31</v>
      </c>
      <c r="W6" s="9">
        <v>6898.04</v>
      </c>
      <c r="X6" s="9">
        <v>6370.13</v>
      </c>
      <c r="Y6" s="7">
        <v>0</v>
      </c>
      <c r="Z6" s="9">
        <v>2729.14</v>
      </c>
    </row>
    <row r="7" spans="1:26" x14ac:dyDescent="0.35">
      <c r="A7" s="7" t="s">
        <v>27</v>
      </c>
      <c r="B7" s="7" t="s">
        <v>28</v>
      </c>
      <c r="C7" s="7" t="s">
        <v>50</v>
      </c>
      <c r="D7" s="7" t="s">
        <v>51</v>
      </c>
      <c r="E7" s="7" t="s">
        <v>42</v>
      </c>
      <c r="F7" s="7" t="s">
        <v>42</v>
      </c>
      <c r="G7" s="7">
        <v>2017</v>
      </c>
      <c r="H7" s="7" t="str">
        <f>CONCATENATE("14270284194")</f>
        <v>14270284194</v>
      </c>
      <c r="I7" s="7" t="s">
        <v>30</v>
      </c>
      <c r="J7" s="7" t="s">
        <v>31</v>
      </c>
      <c r="K7" s="7" t="str">
        <f>CONCATENATE("")</f>
        <v/>
      </c>
      <c r="L7" s="7" t="str">
        <f>CONCATENATE("8 8.1 5e")</f>
        <v>8 8.1 5e</v>
      </c>
      <c r="M7" s="7" t="str">
        <f>CONCATENATE("TTTGNN61H01I461M")</f>
        <v>TTTGNN61H01I461M</v>
      </c>
      <c r="N7" s="7" t="s">
        <v>63</v>
      </c>
      <c r="O7" s="7" t="s">
        <v>64</v>
      </c>
      <c r="P7" s="8">
        <v>44490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7626.19</v>
      </c>
      <c r="W7" s="9">
        <v>3288.41</v>
      </c>
      <c r="X7" s="9">
        <v>3036.75</v>
      </c>
      <c r="Y7" s="7">
        <v>0</v>
      </c>
      <c r="Z7" s="9">
        <v>1301.03</v>
      </c>
    </row>
    <row r="8" spans="1:26" x14ac:dyDescent="0.35">
      <c r="A8" s="7" t="s">
        <v>27</v>
      </c>
      <c r="B8" s="7" t="s">
        <v>28</v>
      </c>
      <c r="C8" s="7" t="s">
        <v>50</v>
      </c>
      <c r="D8" s="7" t="s">
        <v>50</v>
      </c>
      <c r="E8" s="7" t="s">
        <v>42</v>
      </c>
      <c r="F8" s="7" t="s">
        <v>42</v>
      </c>
      <c r="G8" s="7">
        <v>2017</v>
      </c>
      <c r="H8" s="7" t="str">
        <f>CONCATENATE("14270287304")</f>
        <v>14270287304</v>
      </c>
      <c r="I8" s="7" t="s">
        <v>30</v>
      </c>
      <c r="J8" s="7" t="s">
        <v>31</v>
      </c>
      <c r="K8" s="7" t="str">
        <f>CONCATENATE("")</f>
        <v/>
      </c>
      <c r="L8" s="7" t="str">
        <f>CONCATENATE("19 19.2 6b")</f>
        <v>19 19.2 6b</v>
      </c>
      <c r="M8" s="7" t="str">
        <f>CONCATENATE("83000110433")</f>
        <v>83000110433</v>
      </c>
      <c r="N8" s="7" t="s">
        <v>65</v>
      </c>
      <c r="O8" s="7" t="s">
        <v>66</v>
      </c>
      <c r="P8" s="8">
        <v>44495</v>
      </c>
      <c r="Q8" s="7" t="s">
        <v>32</v>
      </c>
      <c r="R8" s="7" t="s">
        <v>46</v>
      </c>
      <c r="S8" s="7" t="s">
        <v>34</v>
      </c>
      <c r="T8" s="7"/>
      <c r="U8" s="7" t="s">
        <v>35</v>
      </c>
      <c r="V8" s="9">
        <v>36581.4</v>
      </c>
      <c r="W8" s="9">
        <v>15773.9</v>
      </c>
      <c r="X8" s="9">
        <v>14566.71</v>
      </c>
      <c r="Y8" s="7">
        <v>0</v>
      </c>
      <c r="Z8" s="9">
        <v>6240.79</v>
      </c>
    </row>
    <row r="9" spans="1:26" x14ac:dyDescent="0.35">
      <c r="A9" s="7" t="s">
        <v>27</v>
      </c>
      <c r="B9" s="7" t="s">
        <v>28</v>
      </c>
      <c r="C9" s="7" t="s">
        <v>50</v>
      </c>
      <c r="D9" s="7" t="s">
        <v>55</v>
      </c>
      <c r="E9" s="7" t="s">
        <v>29</v>
      </c>
      <c r="F9" s="7" t="s">
        <v>67</v>
      </c>
      <c r="G9" s="7">
        <v>2017</v>
      </c>
      <c r="H9" s="7" t="str">
        <f>CONCATENATE("14270312185")</f>
        <v>14270312185</v>
      </c>
      <c r="I9" s="7" t="s">
        <v>30</v>
      </c>
      <c r="J9" s="7" t="s">
        <v>31</v>
      </c>
      <c r="K9" s="7" t="str">
        <f>CONCATENATE("")</f>
        <v/>
      </c>
      <c r="L9" s="7" t="str">
        <f>CONCATENATE("21 21.1 2a")</f>
        <v>21 21.1 2a</v>
      </c>
      <c r="M9" s="7" t="str">
        <f>CONCATENATE("CPPRLA43H16L498H")</f>
        <v>CPPRLA43H16L498H</v>
      </c>
      <c r="N9" s="7" t="s">
        <v>68</v>
      </c>
      <c r="O9" s="7" t="s">
        <v>69</v>
      </c>
      <c r="P9" s="8">
        <v>44515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3750.73</v>
      </c>
      <c r="W9" s="9">
        <v>1617.31</v>
      </c>
      <c r="X9" s="9">
        <v>1493.54</v>
      </c>
      <c r="Y9" s="7">
        <v>0</v>
      </c>
      <c r="Z9" s="7">
        <v>639.88</v>
      </c>
    </row>
    <row r="10" spans="1:26" x14ac:dyDescent="0.35">
      <c r="A10" s="7" t="s">
        <v>27</v>
      </c>
      <c r="B10" s="7" t="s">
        <v>28</v>
      </c>
      <c r="C10" s="7" t="s">
        <v>50</v>
      </c>
      <c r="D10" s="7" t="s">
        <v>55</v>
      </c>
      <c r="E10" s="7" t="s">
        <v>38</v>
      </c>
      <c r="F10" s="7" t="s">
        <v>70</v>
      </c>
      <c r="G10" s="7">
        <v>2017</v>
      </c>
      <c r="H10" s="7" t="str">
        <f>CONCATENATE("14270231161")</f>
        <v>14270231161</v>
      </c>
      <c r="I10" s="7" t="s">
        <v>30</v>
      </c>
      <c r="J10" s="7" t="s">
        <v>31</v>
      </c>
      <c r="K10" s="7" t="str">
        <f>CONCATENATE("")</f>
        <v/>
      </c>
      <c r="L10" s="7" t="str">
        <f>CONCATENATE("21 21.1 2a")</f>
        <v>21 21.1 2a</v>
      </c>
      <c r="M10" s="7" t="str">
        <f>CONCATENATE("BDLGLM52L16F453M")</f>
        <v>BDLGLM52L16F453M</v>
      </c>
      <c r="N10" s="7" t="s">
        <v>71</v>
      </c>
      <c r="O10" s="7" t="s">
        <v>72</v>
      </c>
      <c r="P10" s="8">
        <v>44489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7000</v>
      </c>
      <c r="W10" s="9">
        <v>3018.4</v>
      </c>
      <c r="X10" s="9">
        <v>2787.4</v>
      </c>
      <c r="Y10" s="7">
        <v>0</v>
      </c>
      <c r="Z10" s="9">
        <v>1194.2</v>
      </c>
    </row>
    <row r="11" spans="1:26" x14ac:dyDescent="0.35">
      <c r="A11" s="7" t="s">
        <v>27</v>
      </c>
      <c r="B11" s="7" t="s">
        <v>43</v>
      </c>
      <c r="C11" s="7" t="s">
        <v>50</v>
      </c>
      <c r="D11" s="7" t="s">
        <v>55</v>
      </c>
      <c r="E11" s="7" t="s">
        <v>41</v>
      </c>
      <c r="F11" s="7" t="s">
        <v>73</v>
      </c>
      <c r="G11" s="7">
        <v>2020</v>
      </c>
      <c r="H11" s="7" t="str">
        <f>CONCATENATE("04230002737")</f>
        <v>04230002737</v>
      </c>
      <c r="I11" s="7" t="s">
        <v>40</v>
      </c>
      <c r="J11" s="7" t="s">
        <v>31</v>
      </c>
      <c r="K11" s="7" t="str">
        <f>CONCATENATE("")</f>
        <v/>
      </c>
      <c r="L11" s="7" t="str">
        <f>CONCATENATE("8 8.1 5e")</f>
        <v>8 8.1 5e</v>
      </c>
      <c r="M11" s="7" t="str">
        <f>CONCATENATE("02461270411")</f>
        <v>02461270411</v>
      </c>
      <c r="N11" s="7" t="s">
        <v>74</v>
      </c>
      <c r="O11" s="7" t="s">
        <v>75</v>
      </c>
      <c r="P11" s="8">
        <v>44488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3480.43</v>
      </c>
      <c r="W11" s="9">
        <v>1500.76</v>
      </c>
      <c r="X11" s="9">
        <v>1385.91</v>
      </c>
      <c r="Y11" s="7">
        <v>0</v>
      </c>
      <c r="Z11" s="7">
        <v>593.76</v>
      </c>
    </row>
    <row r="12" spans="1:26" ht="17.5" x14ac:dyDescent="0.35">
      <c r="A12" s="7" t="s">
        <v>27</v>
      </c>
      <c r="B12" s="7" t="s">
        <v>28</v>
      </c>
      <c r="C12" s="7" t="s">
        <v>50</v>
      </c>
      <c r="D12" s="7" t="s">
        <v>51</v>
      </c>
      <c r="E12" s="7" t="s">
        <v>42</v>
      </c>
      <c r="F12" s="7" t="s">
        <v>42</v>
      </c>
      <c r="G12" s="7">
        <v>2017</v>
      </c>
      <c r="H12" s="7" t="str">
        <f>CONCATENATE("14270341739")</f>
        <v>14270341739</v>
      </c>
      <c r="I12" s="7" t="s">
        <v>30</v>
      </c>
      <c r="J12" s="7" t="s">
        <v>31</v>
      </c>
      <c r="K12" s="7" t="str">
        <f>CONCATENATE("")</f>
        <v/>
      </c>
      <c r="L12" s="7" t="str">
        <f>CONCATENATE("9 9.1 3a")</f>
        <v>9 9.1 3a</v>
      </c>
      <c r="M12" s="7" t="str">
        <f>CONCATENATE("93018000427")</f>
        <v>93018000427</v>
      </c>
      <c r="N12" s="7" t="s">
        <v>76</v>
      </c>
      <c r="O12" s="7" t="s">
        <v>77</v>
      </c>
      <c r="P12" s="8">
        <v>44544</v>
      </c>
      <c r="Q12" s="7" t="s">
        <v>32</v>
      </c>
      <c r="R12" s="7" t="s">
        <v>47</v>
      </c>
      <c r="S12" s="7" t="s">
        <v>34</v>
      </c>
      <c r="T12" s="7"/>
      <c r="U12" s="7" t="s">
        <v>35</v>
      </c>
      <c r="V12" s="9">
        <v>99000</v>
      </c>
      <c r="W12" s="9">
        <v>42688.800000000003</v>
      </c>
      <c r="X12" s="9">
        <v>39421.800000000003</v>
      </c>
      <c r="Y12" s="7">
        <v>0</v>
      </c>
      <c r="Z12" s="9">
        <v>16889.400000000001</v>
      </c>
    </row>
    <row r="13" spans="1:26" x14ac:dyDescent="0.35">
      <c r="A13" s="7" t="s">
        <v>27</v>
      </c>
      <c r="B13" s="7" t="s">
        <v>28</v>
      </c>
      <c r="C13" s="7" t="s">
        <v>50</v>
      </c>
      <c r="D13" s="7" t="s">
        <v>55</v>
      </c>
      <c r="E13" s="7" t="s">
        <v>38</v>
      </c>
      <c r="F13" s="7" t="s">
        <v>78</v>
      </c>
      <c r="G13" s="7">
        <v>2017</v>
      </c>
      <c r="H13" s="7" t="str">
        <f>CONCATENATE("14270340889")</f>
        <v>14270340889</v>
      </c>
      <c r="I13" s="7" t="s">
        <v>40</v>
      </c>
      <c r="J13" s="7" t="s">
        <v>31</v>
      </c>
      <c r="K13" s="7" t="str">
        <f>CONCATENATE("")</f>
        <v/>
      </c>
      <c r="L13" s="7" t="str">
        <f>CONCATENATE("8 8.1 5e")</f>
        <v>8 8.1 5e</v>
      </c>
      <c r="M13" s="7" t="str">
        <f>CONCATENATE("RVLCLD79T23G453O")</f>
        <v>RVLCLD79T23G453O</v>
      </c>
      <c r="N13" s="7" t="s">
        <v>79</v>
      </c>
      <c r="O13" s="7" t="s">
        <v>80</v>
      </c>
      <c r="P13" s="8">
        <v>44540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8177.84</v>
      </c>
      <c r="W13" s="9">
        <v>3526.28</v>
      </c>
      <c r="X13" s="9">
        <v>3256.42</v>
      </c>
      <c r="Y13" s="7">
        <v>0</v>
      </c>
      <c r="Z13" s="9">
        <v>1395.14</v>
      </c>
    </row>
    <row r="14" spans="1:26" x14ac:dyDescent="0.35">
      <c r="A14" s="7" t="s">
        <v>27</v>
      </c>
      <c r="B14" s="7" t="s">
        <v>28</v>
      </c>
      <c r="C14" s="7" t="s">
        <v>50</v>
      </c>
      <c r="D14" s="7" t="s">
        <v>51</v>
      </c>
      <c r="E14" s="7" t="s">
        <v>42</v>
      </c>
      <c r="F14" s="7" t="s">
        <v>42</v>
      </c>
      <c r="G14" s="7">
        <v>2017</v>
      </c>
      <c r="H14" s="7" t="str">
        <f>CONCATENATE("14270341754")</f>
        <v>14270341754</v>
      </c>
      <c r="I14" s="7" t="s">
        <v>30</v>
      </c>
      <c r="J14" s="7" t="s">
        <v>31</v>
      </c>
      <c r="K14" s="7" t="str">
        <f>CONCATENATE("")</f>
        <v/>
      </c>
      <c r="L14" s="7" t="str">
        <f>CONCATENATE("9 9.1 3a")</f>
        <v>9 9.1 3a</v>
      </c>
      <c r="M14" s="7" t="str">
        <f>CONCATENATE("00888380425")</f>
        <v>00888380425</v>
      </c>
      <c r="N14" s="7" t="s">
        <v>81</v>
      </c>
      <c r="O14" s="7" t="s">
        <v>77</v>
      </c>
      <c r="P14" s="8">
        <v>44544</v>
      </c>
      <c r="Q14" s="7" t="s">
        <v>32</v>
      </c>
      <c r="R14" s="7" t="s">
        <v>47</v>
      </c>
      <c r="S14" s="7" t="s">
        <v>34</v>
      </c>
      <c r="T14" s="7"/>
      <c r="U14" s="7" t="s">
        <v>35</v>
      </c>
      <c r="V14" s="9">
        <v>99000</v>
      </c>
      <c r="W14" s="9">
        <v>42688.800000000003</v>
      </c>
      <c r="X14" s="9">
        <v>39421.800000000003</v>
      </c>
      <c r="Y14" s="7">
        <v>0</v>
      </c>
      <c r="Z14" s="9">
        <v>16889.400000000001</v>
      </c>
    </row>
    <row r="15" spans="1:26" x14ac:dyDescent="0.35">
      <c r="A15" s="7" t="s">
        <v>27</v>
      </c>
      <c r="B15" s="7" t="s">
        <v>28</v>
      </c>
      <c r="C15" s="7" t="s">
        <v>50</v>
      </c>
      <c r="D15" s="7" t="s">
        <v>59</v>
      </c>
      <c r="E15" s="7" t="s">
        <v>44</v>
      </c>
      <c r="F15" s="7" t="s">
        <v>82</v>
      </c>
      <c r="G15" s="7">
        <v>2017</v>
      </c>
      <c r="H15" s="7" t="str">
        <f>CONCATENATE("14270337117")</f>
        <v>14270337117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4.1 2a")</f>
        <v>4 4.1 2a</v>
      </c>
      <c r="M15" s="7" t="str">
        <f>CONCATENATE("CRSRFL63L31H321M")</f>
        <v>CRSRFL63L31H321M</v>
      </c>
      <c r="N15" s="7" t="s">
        <v>83</v>
      </c>
      <c r="O15" s="7" t="s">
        <v>84</v>
      </c>
      <c r="P15" s="8">
        <v>44543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14878.7</v>
      </c>
      <c r="W15" s="9">
        <v>6415.7</v>
      </c>
      <c r="X15" s="9">
        <v>5924.7</v>
      </c>
      <c r="Y15" s="7">
        <v>0</v>
      </c>
      <c r="Z15" s="9">
        <v>2538.3000000000002</v>
      </c>
    </row>
    <row r="16" spans="1:26" x14ac:dyDescent="0.35">
      <c r="A16" s="7" t="s">
        <v>27</v>
      </c>
      <c r="B16" s="7" t="s">
        <v>28</v>
      </c>
      <c r="C16" s="7" t="s">
        <v>50</v>
      </c>
      <c r="D16" s="7" t="s">
        <v>55</v>
      </c>
      <c r="E16" s="7" t="s">
        <v>42</v>
      </c>
      <c r="F16" s="7" t="s">
        <v>42</v>
      </c>
      <c r="G16" s="7">
        <v>2017</v>
      </c>
      <c r="H16" s="7" t="str">
        <f>CONCATENATE("14270338644")</f>
        <v>14270338644</v>
      </c>
      <c r="I16" s="7" t="s">
        <v>30</v>
      </c>
      <c r="J16" s="7" t="s">
        <v>31</v>
      </c>
      <c r="K16" s="7" t="str">
        <f>CONCATENATE("")</f>
        <v/>
      </c>
      <c r="L16" s="7" t="str">
        <f>CONCATENATE("4 4.1 2a")</f>
        <v>4 4.1 2a</v>
      </c>
      <c r="M16" s="7" t="str">
        <f>CONCATENATE("GRRLCU56T12D488Y")</f>
        <v>GRRLCU56T12D488Y</v>
      </c>
      <c r="N16" s="7" t="s">
        <v>85</v>
      </c>
      <c r="O16" s="7" t="s">
        <v>84</v>
      </c>
      <c r="P16" s="8">
        <v>44543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302657.03999999998</v>
      </c>
      <c r="W16" s="9">
        <v>130505.72</v>
      </c>
      <c r="X16" s="9">
        <v>120518.03</v>
      </c>
      <c r="Y16" s="7">
        <v>0</v>
      </c>
      <c r="Z16" s="9">
        <v>51633.29</v>
      </c>
    </row>
    <row r="17" spans="1:26" x14ac:dyDescent="0.35">
      <c r="A17" s="7" t="s">
        <v>27</v>
      </c>
      <c r="B17" s="7" t="s">
        <v>28</v>
      </c>
      <c r="C17" s="7" t="s">
        <v>50</v>
      </c>
      <c r="D17" s="7" t="s">
        <v>55</v>
      </c>
      <c r="E17" s="7" t="s">
        <v>42</v>
      </c>
      <c r="F17" s="7" t="s">
        <v>42</v>
      </c>
      <c r="G17" s="7">
        <v>2017</v>
      </c>
      <c r="H17" s="7" t="str">
        <f>CONCATENATE("14270341747")</f>
        <v>14270341747</v>
      </c>
      <c r="I17" s="7" t="s">
        <v>30</v>
      </c>
      <c r="J17" s="7" t="s">
        <v>31</v>
      </c>
      <c r="K17" s="7" t="str">
        <f>CONCATENATE("")</f>
        <v/>
      </c>
      <c r="L17" s="7" t="str">
        <f>CONCATENATE("9 9.1 3a")</f>
        <v>9 9.1 3a</v>
      </c>
      <c r="M17" s="7" t="str">
        <f>CONCATENATE("02334930415")</f>
        <v>02334930415</v>
      </c>
      <c r="N17" s="7" t="s">
        <v>86</v>
      </c>
      <c r="O17" s="7" t="s">
        <v>77</v>
      </c>
      <c r="P17" s="8">
        <v>44544</v>
      </c>
      <c r="Q17" s="7" t="s">
        <v>32</v>
      </c>
      <c r="R17" s="7" t="s">
        <v>47</v>
      </c>
      <c r="S17" s="7" t="s">
        <v>34</v>
      </c>
      <c r="T17" s="7"/>
      <c r="U17" s="7" t="s">
        <v>35</v>
      </c>
      <c r="V17" s="9">
        <v>100000</v>
      </c>
      <c r="W17" s="9">
        <v>43120</v>
      </c>
      <c r="X17" s="9">
        <v>39820</v>
      </c>
      <c r="Y17" s="7">
        <v>0</v>
      </c>
      <c r="Z17" s="9">
        <v>17060</v>
      </c>
    </row>
    <row r="18" spans="1:26" x14ac:dyDescent="0.35">
      <c r="A18" s="7" t="s">
        <v>27</v>
      </c>
      <c r="B18" s="7" t="s">
        <v>28</v>
      </c>
      <c r="C18" s="7" t="s">
        <v>50</v>
      </c>
      <c r="D18" s="7" t="s">
        <v>59</v>
      </c>
      <c r="E18" s="7" t="s">
        <v>42</v>
      </c>
      <c r="F18" s="7" t="s">
        <v>42</v>
      </c>
      <c r="G18" s="7">
        <v>2017</v>
      </c>
      <c r="H18" s="7" t="str">
        <f>CONCATENATE("14270340897")</f>
        <v>14270340897</v>
      </c>
      <c r="I18" s="7" t="s">
        <v>30</v>
      </c>
      <c r="J18" s="7" t="s">
        <v>31</v>
      </c>
      <c r="K18" s="7" t="str">
        <f>CONCATENATE("")</f>
        <v/>
      </c>
      <c r="L18" s="7" t="str">
        <f>CONCATENATE("8 8.1 5e")</f>
        <v>8 8.1 5e</v>
      </c>
      <c r="M18" s="7" t="str">
        <f>CONCATENATE("SPNFBA85D05H769R")</f>
        <v>SPNFBA85D05H769R</v>
      </c>
      <c r="N18" s="7" t="s">
        <v>87</v>
      </c>
      <c r="O18" s="7" t="s">
        <v>88</v>
      </c>
      <c r="P18" s="8">
        <v>44540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1954.43</v>
      </c>
      <c r="W18" s="7">
        <v>842.75</v>
      </c>
      <c r="X18" s="7">
        <v>778.25</v>
      </c>
      <c r="Y18" s="7">
        <v>0</v>
      </c>
      <c r="Z18" s="7">
        <v>333.43</v>
      </c>
    </row>
    <row r="19" spans="1:26" x14ac:dyDescent="0.35">
      <c r="A19" s="7" t="s">
        <v>27</v>
      </c>
      <c r="B19" s="7" t="s">
        <v>28</v>
      </c>
      <c r="C19" s="7" t="s">
        <v>50</v>
      </c>
      <c r="D19" s="7" t="s">
        <v>51</v>
      </c>
      <c r="E19" s="7" t="s">
        <v>42</v>
      </c>
      <c r="F19" s="7" t="s">
        <v>42</v>
      </c>
      <c r="G19" s="7">
        <v>2017</v>
      </c>
      <c r="H19" s="7" t="str">
        <f>CONCATENATE("14270346456")</f>
        <v>14270346456</v>
      </c>
      <c r="I19" s="7" t="s">
        <v>30</v>
      </c>
      <c r="J19" s="7" t="s">
        <v>31</v>
      </c>
      <c r="K19" s="7" t="str">
        <f>CONCATENATE("")</f>
        <v/>
      </c>
      <c r="L19" s="7" t="str">
        <f>CONCATENATE("3 3.2 3a")</f>
        <v>3 3.2 3a</v>
      </c>
      <c r="M19" s="7" t="str">
        <f>CONCATENATE("00807560420")</f>
        <v>00807560420</v>
      </c>
      <c r="N19" s="7" t="s">
        <v>89</v>
      </c>
      <c r="O19" s="7" t="s">
        <v>90</v>
      </c>
      <c r="P19" s="8">
        <v>44545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231220.6</v>
      </c>
      <c r="W19" s="9">
        <v>99702.32</v>
      </c>
      <c r="X19" s="9">
        <v>92072.04</v>
      </c>
      <c r="Y19" s="7">
        <v>0</v>
      </c>
      <c r="Z19" s="9">
        <v>39446.239999999998</v>
      </c>
    </row>
    <row r="20" spans="1:26" x14ac:dyDescent="0.35">
      <c r="A20" s="7" t="s">
        <v>27</v>
      </c>
      <c r="B20" s="7" t="s">
        <v>28</v>
      </c>
      <c r="C20" s="7" t="s">
        <v>50</v>
      </c>
      <c r="D20" s="7" t="s">
        <v>55</v>
      </c>
      <c r="E20" s="7" t="s">
        <v>29</v>
      </c>
      <c r="F20" s="7" t="s">
        <v>91</v>
      </c>
      <c r="G20" s="7">
        <v>2017</v>
      </c>
      <c r="H20" s="7" t="str">
        <f>CONCATENATE("14270340954")</f>
        <v>14270340954</v>
      </c>
      <c r="I20" s="7" t="s">
        <v>30</v>
      </c>
      <c r="J20" s="7" t="s">
        <v>31</v>
      </c>
      <c r="K20" s="7" t="str">
        <f>CONCATENATE("")</f>
        <v/>
      </c>
      <c r="L20" s="7" t="str">
        <f>CONCATENATE("21 21.1 2a")</f>
        <v>21 21.1 2a</v>
      </c>
      <c r="M20" s="7" t="str">
        <f>CONCATENATE("91019730414")</f>
        <v>91019730414</v>
      </c>
      <c r="N20" s="7" t="s">
        <v>92</v>
      </c>
      <c r="O20" s="7" t="s">
        <v>93</v>
      </c>
      <c r="P20" s="8">
        <v>44540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x14ac:dyDescent="0.35">
      <c r="A21" s="7" t="s">
        <v>27</v>
      </c>
      <c r="B21" s="7" t="s">
        <v>28</v>
      </c>
      <c r="C21" s="7" t="s">
        <v>50</v>
      </c>
      <c r="D21" s="7" t="s">
        <v>51</v>
      </c>
      <c r="E21" s="7" t="s">
        <v>42</v>
      </c>
      <c r="F21" s="7" t="s">
        <v>42</v>
      </c>
      <c r="G21" s="7">
        <v>2017</v>
      </c>
      <c r="H21" s="7" t="str">
        <f>CONCATENATE("14270340947")</f>
        <v>14270340947</v>
      </c>
      <c r="I21" s="7" t="s">
        <v>40</v>
      </c>
      <c r="J21" s="7" t="s">
        <v>31</v>
      </c>
      <c r="K21" s="7" t="str">
        <f>CONCATENATE("")</f>
        <v/>
      </c>
      <c r="L21" s="7" t="str">
        <f>CONCATENATE("21 21.1 2a")</f>
        <v>21 21.1 2a</v>
      </c>
      <c r="M21" s="7" t="str">
        <f>CONCATENATE("PRSFNC40D20D124O")</f>
        <v>PRSFNC40D20D124O</v>
      </c>
      <c r="N21" s="7" t="s">
        <v>94</v>
      </c>
      <c r="O21" s="7" t="s">
        <v>93</v>
      </c>
      <c r="P21" s="8">
        <v>44540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7000</v>
      </c>
      <c r="W21" s="9">
        <v>3018.4</v>
      </c>
      <c r="X21" s="9">
        <v>2787.4</v>
      </c>
      <c r="Y21" s="7">
        <v>0</v>
      </c>
      <c r="Z21" s="9">
        <v>1194.2</v>
      </c>
    </row>
    <row r="22" spans="1:26" x14ac:dyDescent="0.35">
      <c r="A22" s="7" t="s">
        <v>27</v>
      </c>
      <c r="B22" s="7" t="s">
        <v>28</v>
      </c>
      <c r="C22" s="7" t="s">
        <v>50</v>
      </c>
      <c r="D22" s="7" t="s">
        <v>95</v>
      </c>
      <c r="E22" s="7" t="s">
        <v>42</v>
      </c>
      <c r="F22" s="7" t="s">
        <v>42</v>
      </c>
      <c r="G22" s="7">
        <v>2017</v>
      </c>
      <c r="H22" s="7" t="str">
        <f>CONCATENATE("14270341606")</f>
        <v>14270341606</v>
      </c>
      <c r="I22" s="7" t="s">
        <v>40</v>
      </c>
      <c r="J22" s="7" t="s">
        <v>31</v>
      </c>
      <c r="K22" s="7" t="str">
        <f>CONCATENATE("")</f>
        <v/>
      </c>
      <c r="L22" s="7" t="str">
        <f>CONCATENATE("6 6.1 2b")</f>
        <v>6 6.1 2b</v>
      </c>
      <c r="M22" s="7" t="str">
        <f>CONCATENATE("01914370430")</f>
        <v>01914370430</v>
      </c>
      <c r="N22" s="7" t="s">
        <v>96</v>
      </c>
      <c r="O22" s="7" t="s">
        <v>97</v>
      </c>
      <c r="P22" s="8">
        <v>44540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21000</v>
      </c>
      <c r="W22" s="9">
        <v>9055.2000000000007</v>
      </c>
      <c r="X22" s="9">
        <v>8362.2000000000007</v>
      </c>
      <c r="Y22" s="7">
        <v>0</v>
      </c>
      <c r="Z22" s="9">
        <v>3582.6</v>
      </c>
    </row>
    <row r="23" spans="1:26" x14ac:dyDescent="0.35">
      <c r="A23" s="7" t="s">
        <v>27</v>
      </c>
      <c r="B23" s="7" t="s">
        <v>28</v>
      </c>
      <c r="C23" s="7" t="s">
        <v>50</v>
      </c>
      <c r="D23" s="7" t="s">
        <v>55</v>
      </c>
      <c r="E23" s="7" t="s">
        <v>41</v>
      </c>
      <c r="F23" s="7" t="s">
        <v>98</v>
      </c>
      <c r="G23" s="7">
        <v>2017</v>
      </c>
      <c r="H23" s="7" t="str">
        <f>CONCATENATE("14270340921")</f>
        <v>14270340921</v>
      </c>
      <c r="I23" s="7" t="s">
        <v>30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CONCATENATE("WSSFKH58C70Z112B")</f>
        <v>WSSFKH58C70Z112B</v>
      </c>
      <c r="N23" s="7" t="s">
        <v>99</v>
      </c>
      <c r="O23" s="7" t="s">
        <v>93</v>
      </c>
      <c r="P23" s="8">
        <v>44540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7000</v>
      </c>
      <c r="W23" s="9">
        <v>3018.4</v>
      </c>
      <c r="X23" s="9">
        <v>2787.4</v>
      </c>
      <c r="Y23" s="7">
        <v>0</v>
      </c>
      <c r="Z23" s="9">
        <v>1194.2</v>
      </c>
    </row>
    <row r="24" spans="1:26" x14ac:dyDescent="0.35">
      <c r="A24" s="7" t="s">
        <v>27</v>
      </c>
      <c r="B24" s="7" t="s">
        <v>28</v>
      </c>
      <c r="C24" s="7" t="s">
        <v>50</v>
      </c>
      <c r="D24" s="7" t="s">
        <v>51</v>
      </c>
      <c r="E24" s="7" t="s">
        <v>42</v>
      </c>
      <c r="F24" s="7" t="s">
        <v>42</v>
      </c>
      <c r="G24" s="7">
        <v>2017</v>
      </c>
      <c r="H24" s="7" t="str">
        <f>CONCATENATE("14270337380")</f>
        <v>14270337380</v>
      </c>
      <c r="I24" s="7" t="s">
        <v>30</v>
      </c>
      <c r="J24" s="7" t="s">
        <v>31</v>
      </c>
      <c r="K24" s="7" t="str">
        <f>CONCATENATE("")</f>
        <v/>
      </c>
      <c r="L24" s="7" t="str">
        <f>CONCATENATE("6 6.1 2b")</f>
        <v>6 6.1 2b</v>
      </c>
      <c r="M24" s="7" t="str">
        <f>CONCATENATE("02747110423")</f>
        <v>02747110423</v>
      </c>
      <c r="N24" s="7" t="s">
        <v>100</v>
      </c>
      <c r="O24" s="7" t="s">
        <v>101</v>
      </c>
      <c r="P24" s="8">
        <v>44543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15000</v>
      </c>
      <c r="W24" s="9">
        <v>6468</v>
      </c>
      <c r="X24" s="9">
        <v>5973</v>
      </c>
      <c r="Y24" s="7">
        <v>0</v>
      </c>
      <c r="Z24" s="9">
        <v>2559</v>
      </c>
    </row>
    <row r="25" spans="1:26" x14ac:dyDescent="0.35">
      <c r="A25" s="7" t="s">
        <v>27</v>
      </c>
      <c r="B25" s="7" t="s">
        <v>28</v>
      </c>
      <c r="C25" s="7" t="s">
        <v>50</v>
      </c>
      <c r="D25" s="7" t="s">
        <v>51</v>
      </c>
      <c r="E25" s="7" t="s">
        <v>42</v>
      </c>
      <c r="F25" s="7" t="s">
        <v>42</v>
      </c>
      <c r="G25" s="7">
        <v>2017</v>
      </c>
      <c r="H25" s="7" t="str">
        <f>CONCATENATE("14270337406")</f>
        <v>14270337406</v>
      </c>
      <c r="I25" s="7" t="s">
        <v>30</v>
      </c>
      <c r="J25" s="7" t="s">
        <v>31</v>
      </c>
      <c r="K25" s="7" t="str">
        <f>CONCATENATE("")</f>
        <v/>
      </c>
      <c r="L25" s="7" t="str">
        <f>CONCATENATE("4 4.1 2a")</f>
        <v>4 4.1 2a</v>
      </c>
      <c r="M25" s="7" t="str">
        <f>CONCATENATE("02747110423")</f>
        <v>02747110423</v>
      </c>
      <c r="N25" s="7" t="s">
        <v>100</v>
      </c>
      <c r="O25" s="7" t="s">
        <v>102</v>
      </c>
      <c r="P25" s="8">
        <v>44543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23167.11</v>
      </c>
      <c r="W25" s="9">
        <v>9989.66</v>
      </c>
      <c r="X25" s="9">
        <v>9225.14</v>
      </c>
      <c r="Y25" s="7">
        <v>0</v>
      </c>
      <c r="Z25" s="9">
        <v>3952.31</v>
      </c>
    </row>
    <row r="26" spans="1:26" ht="17.5" x14ac:dyDescent="0.35">
      <c r="A26" s="7" t="s">
        <v>27</v>
      </c>
      <c r="B26" s="7" t="s">
        <v>28</v>
      </c>
      <c r="C26" s="7" t="s">
        <v>50</v>
      </c>
      <c r="D26" s="7" t="s">
        <v>59</v>
      </c>
      <c r="E26" s="7" t="s">
        <v>44</v>
      </c>
      <c r="F26" s="7" t="s">
        <v>82</v>
      </c>
      <c r="G26" s="7">
        <v>2017</v>
      </c>
      <c r="H26" s="7" t="str">
        <f>CONCATENATE("14270346498")</f>
        <v>14270346498</v>
      </c>
      <c r="I26" s="7" t="s">
        <v>30</v>
      </c>
      <c r="J26" s="7" t="s">
        <v>31</v>
      </c>
      <c r="K26" s="7" t="str">
        <f>CONCATENATE("")</f>
        <v/>
      </c>
      <c r="L26" s="7" t="str">
        <f>CONCATENATE("6 6.4 2a")</f>
        <v>6 6.4 2a</v>
      </c>
      <c r="M26" s="7" t="str">
        <f>CONCATENATE("02255700441")</f>
        <v>02255700441</v>
      </c>
      <c r="N26" s="7" t="s">
        <v>103</v>
      </c>
      <c r="O26" s="7" t="s">
        <v>104</v>
      </c>
      <c r="P26" s="8">
        <v>44545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35148.42</v>
      </c>
      <c r="W26" s="9">
        <v>15156</v>
      </c>
      <c r="X26" s="9">
        <v>13996.1</v>
      </c>
      <c r="Y26" s="7">
        <v>0</v>
      </c>
      <c r="Z26" s="9">
        <v>5996.32</v>
      </c>
    </row>
    <row r="27" spans="1:26" x14ac:dyDescent="0.35">
      <c r="A27" s="7" t="s">
        <v>27</v>
      </c>
      <c r="B27" s="7" t="s">
        <v>28</v>
      </c>
      <c r="C27" s="7" t="s">
        <v>50</v>
      </c>
      <c r="D27" s="7" t="s">
        <v>50</v>
      </c>
      <c r="E27" s="7" t="s">
        <v>42</v>
      </c>
      <c r="F27" s="7" t="s">
        <v>42</v>
      </c>
      <c r="G27" s="7">
        <v>2017</v>
      </c>
      <c r="H27" s="7" t="str">
        <f>CONCATENATE("14270341846")</f>
        <v>14270341846</v>
      </c>
      <c r="I27" s="7" t="s">
        <v>30</v>
      </c>
      <c r="J27" s="7" t="s">
        <v>31</v>
      </c>
      <c r="K27" s="7" t="str">
        <f>CONCATENATE("")</f>
        <v/>
      </c>
      <c r="L27" s="7" t="str">
        <f>CONCATENATE("19 19.2 6b")</f>
        <v>19 19.2 6b</v>
      </c>
      <c r="M27" s="7" t="str">
        <f>CONCATENATE("02346380443")</f>
        <v>02346380443</v>
      </c>
      <c r="N27" s="7" t="s">
        <v>105</v>
      </c>
      <c r="O27" s="7" t="s">
        <v>106</v>
      </c>
      <c r="P27" s="8">
        <v>44540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35000</v>
      </c>
      <c r="W27" s="9">
        <v>15092</v>
      </c>
      <c r="X27" s="9">
        <v>13937</v>
      </c>
      <c r="Y27" s="7">
        <v>0</v>
      </c>
      <c r="Z27" s="9">
        <v>5971</v>
      </c>
    </row>
    <row r="28" spans="1:26" x14ac:dyDescent="0.35">
      <c r="A28" s="7" t="s">
        <v>27</v>
      </c>
      <c r="B28" s="7" t="s">
        <v>28</v>
      </c>
      <c r="C28" s="7" t="s">
        <v>50</v>
      </c>
      <c r="D28" s="7" t="s">
        <v>50</v>
      </c>
      <c r="E28" s="7" t="s">
        <v>42</v>
      </c>
      <c r="F28" s="7" t="s">
        <v>42</v>
      </c>
      <c r="G28" s="7">
        <v>2017</v>
      </c>
      <c r="H28" s="7" t="str">
        <f>CONCATENATE("14270341218")</f>
        <v>14270341218</v>
      </c>
      <c r="I28" s="7" t="s">
        <v>30</v>
      </c>
      <c r="J28" s="7" t="s">
        <v>31</v>
      </c>
      <c r="K28" s="7" t="str">
        <f>CONCATENATE("")</f>
        <v/>
      </c>
      <c r="L28" s="7" t="str">
        <f>CONCATENATE("19 19.2 6b")</f>
        <v>19 19.2 6b</v>
      </c>
      <c r="M28" s="7" t="str">
        <f>CONCATENATE("80001250440")</f>
        <v>80001250440</v>
      </c>
      <c r="N28" s="7" t="s">
        <v>107</v>
      </c>
      <c r="O28" s="7" t="s">
        <v>108</v>
      </c>
      <c r="P28" s="8">
        <v>44540</v>
      </c>
      <c r="Q28" s="7" t="s">
        <v>32</v>
      </c>
      <c r="R28" s="7" t="s">
        <v>46</v>
      </c>
      <c r="S28" s="7" t="s">
        <v>34</v>
      </c>
      <c r="T28" s="7"/>
      <c r="U28" s="7" t="s">
        <v>35</v>
      </c>
      <c r="V28" s="9">
        <v>31500</v>
      </c>
      <c r="W28" s="9">
        <v>13582.8</v>
      </c>
      <c r="X28" s="9">
        <v>12543.3</v>
      </c>
      <c r="Y28" s="7">
        <v>0</v>
      </c>
      <c r="Z28" s="9">
        <v>5373.9</v>
      </c>
    </row>
    <row r="29" spans="1:26" x14ac:dyDescent="0.35">
      <c r="A29" s="7" t="s">
        <v>27</v>
      </c>
      <c r="B29" s="7" t="s">
        <v>28</v>
      </c>
      <c r="C29" s="7" t="s">
        <v>50</v>
      </c>
      <c r="D29" s="7" t="s">
        <v>50</v>
      </c>
      <c r="E29" s="7" t="s">
        <v>42</v>
      </c>
      <c r="F29" s="7" t="s">
        <v>42</v>
      </c>
      <c r="G29" s="7">
        <v>2017</v>
      </c>
      <c r="H29" s="7" t="str">
        <f>CONCATENATE("14270341234")</f>
        <v>14270341234</v>
      </c>
      <c r="I29" s="7" t="s">
        <v>30</v>
      </c>
      <c r="J29" s="7" t="s">
        <v>31</v>
      </c>
      <c r="K29" s="7" t="str">
        <f>CONCATENATE("")</f>
        <v/>
      </c>
      <c r="L29" s="7" t="str">
        <f>CONCATENATE("19 19.2 6b")</f>
        <v>19 19.2 6b</v>
      </c>
      <c r="M29" s="7" t="str">
        <f>CONCATENATE("00363500448")</f>
        <v>00363500448</v>
      </c>
      <c r="N29" s="7" t="s">
        <v>109</v>
      </c>
      <c r="O29" s="7" t="s">
        <v>110</v>
      </c>
      <c r="P29" s="8">
        <v>44544</v>
      </c>
      <c r="Q29" s="7" t="s">
        <v>32</v>
      </c>
      <c r="R29" s="7" t="s">
        <v>46</v>
      </c>
      <c r="S29" s="7" t="s">
        <v>34</v>
      </c>
      <c r="T29" s="7"/>
      <c r="U29" s="7" t="s">
        <v>35</v>
      </c>
      <c r="V29" s="9">
        <v>14397.19</v>
      </c>
      <c r="W29" s="9">
        <v>6208.07</v>
      </c>
      <c r="X29" s="9">
        <v>5732.96</v>
      </c>
      <c r="Y29" s="7">
        <v>0</v>
      </c>
      <c r="Z29" s="9">
        <v>2456.16</v>
      </c>
    </row>
    <row r="30" spans="1:26" x14ac:dyDescent="0.35">
      <c r="A30" s="7" t="s">
        <v>27</v>
      </c>
      <c r="B30" s="7" t="s">
        <v>28</v>
      </c>
      <c r="C30" s="7" t="s">
        <v>50</v>
      </c>
      <c r="D30" s="7" t="s">
        <v>50</v>
      </c>
      <c r="E30" s="7" t="s">
        <v>42</v>
      </c>
      <c r="F30" s="7" t="s">
        <v>42</v>
      </c>
      <c r="G30" s="7">
        <v>2017</v>
      </c>
      <c r="H30" s="7" t="str">
        <f>CONCATENATE("14270345250")</f>
        <v>14270345250</v>
      </c>
      <c r="I30" s="7" t="s">
        <v>30</v>
      </c>
      <c r="J30" s="7" t="s">
        <v>31</v>
      </c>
      <c r="K30" s="7" t="str">
        <f>CONCATENATE("")</f>
        <v/>
      </c>
      <c r="L30" s="7" t="str">
        <f>CONCATENATE("19 19.2 6b")</f>
        <v>19 19.2 6b</v>
      </c>
      <c r="M30" s="7" t="str">
        <f>CONCATENATE("00356080440")</f>
        <v>00356080440</v>
      </c>
      <c r="N30" s="7" t="s">
        <v>111</v>
      </c>
      <c r="O30" s="7" t="s">
        <v>112</v>
      </c>
      <c r="P30" s="8">
        <v>44544</v>
      </c>
      <c r="Q30" s="7" t="s">
        <v>32</v>
      </c>
      <c r="R30" s="7" t="s">
        <v>46</v>
      </c>
      <c r="S30" s="7" t="s">
        <v>34</v>
      </c>
      <c r="T30" s="7"/>
      <c r="U30" s="7" t="s">
        <v>35</v>
      </c>
      <c r="V30" s="9">
        <v>34524.49</v>
      </c>
      <c r="W30" s="9">
        <v>14886.96</v>
      </c>
      <c r="X30" s="9">
        <v>13747.65</v>
      </c>
      <c r="Y30" s="7">
        <v>0</v>
      </c>
      <c r="Z30" s="9">
        <v>5889.88</v>
      </c>
    </row>
    <row r="31" spans="1:26" x14ac:dyDescent="0.35">
      <c r="A31" s="7" t="s">
        <v>27</v>
      </c>
      <c r="B31" s="7" t="s">
        <v>28</v>
      </c>
      <c r="C31" s="7" t="s">
        <v>50</v>
      </c>
      <c r="D31" s="7" t="s">
        <v>50</v>
      </c>
      <c r="E31" s="7" t="s">
        <v>42</v>
      </c>
      <c r="F31" s="7" t="s">
        <v>42</v>
      </c>
      <c r="G31" s="7">
        <v>2017</v>
      </c>
      <c r="H31" s="7" t="str">
        <f>CONCATENATE("14270341226")</f>
        <v>14270341226</v>
      </c>
      <c r="I31" s="7" t="s">
        <v>30</v>
      </c>
      <c r="J31" s="7" t="s">
        <v>31</v>
      </c>
      <c r="K31" s="7" t="str">
        <f>CONCATENATE("")</f>
        <v/>
      </c>
      <c r="L31" s="7" t="str">
        <f>CONCATENATE("19 19.2 6b")</f>
        <v>19 19.2 6b</v>
      </c>
      <c r="M31" s="7" t="str">
        <f>CONCATENATE("80000330441")</f>
        <v>80000330441</v>
      </c>
      <c r="N31" s="7" t="s">
        <v>113</v>
      </c>
      <c r="O31" s="7" t="s">
        <v>112</v>
      </c>
      <c r="P31" s="8">
        <v>44544</v>
      </c>
      <c r="Q31" s="7" t="s">
        <v>32</v>
      </c>
      <c r="R31" s="7" t="s">
        <v>46</v>
      </c>
      <c r="S31" s="7" t="s">
        <v>34</v>
      </c>
      <c r="T31" s="7"/>
      <c r="U31" s="7" t="s">
        <v>35</v>
      </c>
      <c r="V31" s="9">
        <v>17398.89</v>
      </c>
      <c r="W31" s="9">
        <v>7502.4</v>
      </c>
      <c r="X31" s="9">
        <v>6928.24</v>
      </c>
      <c r="Y31" s="7">
        <v>0</v>
      </c>
      <c r="Z31" s="9">
        <v>2968.25</v>
      </c>
    </row>
    <row r="32" spans="1:26" x14ac:dyDescent="0.35">
      <c r="A32" s="7" t="s">
        <v>27</v>
      </c>
      <c r="B32" s="7" t="s">
        <v>28</v>
      </c>
      <c r="C32" s="7" t="s">
        <v>50</v>
      </c>
      <c r="D32" s="7" t="s">
        <v>50</v>
      </c>
      <c r="E32" s="7" t="s">
        <v>42</v>
      </c>
      <c r="F32" s="7" t="s">
        <v>42</v>
      </c>
      <c r="G32" s="7">
        <v>2017</v>
      </c>
      <c r="H32" s="7" t="str">
        <f>CONCATENATE("14270343248")</f>
        <v>14270343248</v>
      </c>
      <c r="I32" s="7" t="s">
        <v>30</v>
      </c>
      <c r="J32" s="7" t="s">
        <v>31</v>
      </c>
      <c r="K32" s="7" t="str">
        <f>CONCATENATE("")</f>
        <v/>
      </c>
      <c r="L32" s="7" t="str">
        <f>CONCATENATE("19 19.2 6b")</f>
        <v>19 19.2 6b</v>
      </c>
      <c r="M32" s="7" t="str">
        <f>CONCATENATE("00370910440")</f>
        <v>00370910440</v>
      </c>
      <c r="N32" s="7" t="s">
        <v>114</v>
      </c>
      <c r="O32" s="7" t="s">
        <v>112</v>
      </c>
      <c r="P32" s="8">
        <v>44544</v>
      </c>
      <c r="Q32" s="7" t="s">
        <v>32</v>
      </c>
      <c r="R32" s="7" t="s">
        <v>46</v>
      </c>
      <c r="S32" s="7" t="s">
        <v>34</v>
      </c>
      <c r="T32" s="7"/>
      <c r="U32" s="7" t="s">
        <v>35</v>
      </c>
      <c r="V32" s="9">
        <v>35999.910000000003</v>
      </c>
      <c r="W32" s="9">
        <v>15523.16</v>
      </c>
      <c r="X32" s="9">
        <v>14335.16</v>
      </c>
      <c r="Y32" s="7">
        <v>0</v>
      </c>
      <c r="Z32" s="9">
        <v>6141.59</v>
      </c>
    </row>
    <row r="33" spans="1:26" x14ac:dyDescent="0.35">
      <c r="A33" s="7" t="s">
        <v>27</v>
      </c>
      <c r="B33" s="7" t="s">
        <v>28</v>
      </c>
      <c r="C33" s="7" t="s">
        <v>50</v>
      </c>
      <c r="D33" s="7" t="s">
        <v>50</v>
      </c>
      <c r="E33" s="7" t="s">
        <v>42</v>
      </c>
      <c r="F33" s="7" t="s">
        <v>42</v>
      </c>
      <c r="G33" s="7">
        <v>2017</v>
      </c>
      <c r="H33" s="7" t="str">
        <f>CONCATENATE("14270341242")</f>
        <v>14270341242</v>
      </c>
      <c r="I33" s="7" t="s">
        <v>30</v>
      </c>
      <c r="J33" s="7" t="s">
        <v>31</v>
      </c>
      <c r="K33" s="7" t="str">
        <f>CONCATENATE("")</f>
        <v/>
      </c>
      <c r="L33" s="7" t="str">
        <f>CONCATENATE("19 19.2 6b")</f>
        <v>19 19.2 6b</v>
      </c>
      <c r="M33" s="7" t="str">
        <f>CONCATENATE("80000330441")</f>
        <v>80000330441</v>
      </c>
      <c r="N33" s="7" t="s">
        <v>113</v>
      </c>
      <c r="O33" s="7" t="s">
        <v>110</v>
      </c>
      <c r="P33" s="8">
        <v>44544</v>
      </c>
      <c r="Q33" s="7" t="s">
        <v>32</v>
      </c>
      <c r="R33" s="7" t="s">
        <v>46</v>
      </c>
      <c r="S33" s="7" t="s">
        <v>34</v>
      </c>
      <c r="T33" s="7"/>
      <c r="U33" s="7" t="s">
        <v>35</v>
      </c>
      <c r="V33" s="9">
        <v>31380.799999999999</v>
      </c>
      <c r="W33" s="9">
        <v>13531.4</v>
      </c>
      <c r="X33" s="9">
        <v>12495.83</v>
      </c>
      <c r="Y33" s="7">
        <v>0</v>
      </c>
      <c r="Z33" s="9">
        <v>5353.57</v>
      </c>
    </row>
    <row r="34" spans="1:26" x14ac:dyDescent="0.35">
      <c r="A34" s="7" t="s">
        <v>27</v>
      </c>
      <c r="B34" s="7" t="s">
        <v>28</v>
      </c>
      <c r="C34" s="7" t="s">
        <v>50</v>
      </c>
      <c r="D34" s="7" t="s">
        <v>50</v>
      </c>
      <c r="E34" s="7" t="s">
        <v>42</v>
      </c>
      <c r="F34" s="7" t="s">
        <v>42</v>
      </c>
      <c r="G34" s="7">
        <v>2017</v>
      </c>
      <c r="H34" s="7" t="str">
        <f>CONCATENATE("14270341267")</f>
        <v>14270341267</v>
      </c>
      <c r="I34" s="7" t="s">
        <v>30</v>
      </c>
      <c r="J34" s="7" t="s">
        <v>31</v>
      </c>
      <c r="K34" s="7" t="str">
        <f>CONCATENATE("")</f>
        <v/>
      </c>
      <c r="L34" s="7" t="str">
        <f>CONCATENATE("19 19.2 6b")</f>
        <v>19 19.2 6b</v>
      </c>
      <c r="M34" s="7" t="str">
        <f>CONCATENATE("00330500448")</f>
        <v>00330500448</v>
      </c>
      <c r="N34" s="7" t="s">
        <v>115</v>
      </c>
      <c r="O34" s="7" t="s">
        <v>116</v>
      </c>
      <c r="P34" s="8">
        <v>44544</v>
      </c>
      <c r="Q34" s="7" t="s">
        <v>32</v>
      </c>
      <c r="R34" s="7" t="s">
        <v>46</v>
      </c>
      <c r="S34" s="7" t="s">
        <v>34</v>
      </c>
      <c r="T34" s="7"/>
      <c r="U34" s="7" t="s">
        <v>35</v>
      </c>
      <c r="V34" s="9">
        <v>23827.4</v>
      </c>
      <c r="W34" s="9">
        <v>10274.370000000001</v>
      </c>
      <c r="X34" s="9">
        <v>9488.07</v>
      </c>
      <c r="Y34" s="7">
        <v>0</v>
      </c>
      <c r="Z34" s="9">
        <v>4064.96</v>
      </c>
    </row>
    <row r="35" spans="1:26" x14ac:dyDescent="0.35">
      <c r="A35" s="7" t="s">
        <v>27</v>
      </c>
      <c r="B35" s="7" t="s">
        <v>28</v>
      </c>
      <c r="C35" s="7" t="s">
        <v>50</v>
      </c>
      <c r="D35" s="7" t="s">
        <v>50</v>
      </c>
      <c r="E35" s="7" t="s">
        <v>42</v>
      </c>
      <c r="F35" s="7" t="s">
        <v>42</v>
      </c>
      <c r="G35" s="7">
        <v>2017</v>
      </c>
      <c r="H35" s="7" t="str">
        <f>CONCATENATE("14270342075")</f>
        <v>14270342075</v>
      </c>
      <c r="I35" s="7" t="s">
        <v>30</v>
      </c>
      <c r="J35" s="7" t="s">
        <v>31</v>
      </c>
      <c r="K35" s="7" t="str">
        <f>CONCATENATE("")</f>
        <v/>
      </c>
      <c r="L35" s="7" t="str">
        <f>CONCATENATE("19 19.2 6b")</f>
        <v>19 19.2 6b</v>
      </c>
      <c r="M35" s="7" t="str">
        <f>CONCATENATE("00330500448")</f>
        <v>00330500448</v>
      </c>
      <c r="N35" s="7" t="s">
        <v>115</v>
      </c>
      <c r="O35" s="7" t="s">
        <v>117</v>
      </c>
      <c r="P35" s="8">
        <v>44544</v>
      </c>
      <c r="Q35" s="7" t="s">
        <v>32</v>
      </c>
      <c r="R35" s="7" t="s">
        <v>46</v>
      </c>
      <c r="S35" s="7" t="s">
        <v>34</v>
      </c>
      <c r="T35" s="7"/>
      <c r="U35" s="7" t="s">
        <v>35</v>
      </c>
      <c r="V35" s="9">
        <v>45225</v>
      </c>
      <c r="W35" s="9">
        <v>19501.02</v>
      </c>
      <c r="X35" s="9">
        <v>18008.599999999999</v>
      </c>
      <c r="Y35" s="7">
        <v>0</v>
      </c>
      <c r="Z35" s="9">
        <v>7715.38</v>
      </c>
    </row>
    <row r="36" spans="1:26" x14ac:dyDescent="0.35">
      <c r="A36" s="7" t="s">
        <v>27</v>
      </c>
      <c r="B36" s="7" t="s">
        <v>28</v>
      </c>
      <c r="C36" s="7" t="s">
        <v>50</v>
      </c>
      <c r="D36" s="7" t="s">
        <v>50</v>
      </c>
      <c r="E36" s="7" t="s">
        <v>42</v>
      </c>
      <c r="F36" s="7" t="s">
        <v>42</v>
      </c>
      <c r="G36" s="7">
        <v>2017</v>
      </c>
      <c r="H36" s="7" t="str">
        <f>CONCATENATE("14270342935")</f>
        <v>14270342935</v>
      </c>
      <c r="I36" s="7" t="s">
        <v>30</v>
      </c>
      <c r="J36" s="7" t="s">
        <v>31</v>
      </c>
      <c r="K36" s="7" t="str">
        <f>CONCATENATE("")</f>
        <v/>
      </c>
      <c r="L36" s="7" t="str">
        <f>CONCATENATE("19 19.2 6b")</f>
        <v>19 19.2 6b</v>
      </c>
      <c r="M36" s="7" t="str">
        <f>CONCATENATE("00334990447")</f>
        <v>00334990447</v>
      </c>
      <c r="N36" s="7" t="s">
        <v>118</v>
      </c>
      <c r="O36" s="7" t="s">
        <v>119</v>
      </c>
      <c r="P36" s="8">
        <v>44544</v>
      </c>
      <c r="Q36" s="7" t="s">
        <v>32</v>
      </c>
      <c r="R36" s="7" t="s">
        <v>46</v>
      </c>
      <c r="S36" s="7" t="s">
        <v>34</v>
      </c>
      <c r="T36" s="7"/>
      <c r="U36" s="7" t="s">
        <v>35</v>
      </c>
      <c r="V36" s="9">
        <v>53973.66</v>
      </c>
      <c r="W36" s="9">
        <v>23273.439999999999</v>
      </c>
      <c r="X36" s="9">
        <v>21492.31</v>
      </c>
      <c r="Y36" s="7">
        <v>0</v>
      </c>
      <c r="Z36" s="9">
        <v>9207.91</v>
      </c>
    </row>
    <row r="37" spans="1:26" x14ac:dyDescent="0.35">
      <c r="A37" s="7" t="s">
        <v>27</v>
      </c>
      <c r="B37" s="7" t="s">
        <v>28</v>
      </c>
      <c r="C37" s="7" t="s">
        <v>50</v>
      </c>
      <c r="D37" s="7" t="s">
        <v>50</v>
      </c>
      <c r="E37" s="7" t="s">
        <v>42</v>
      </c>
      <c r="F37" s="7" t="s">
        <v>42</v>
      </c>
      <c r="G37" s="7">
        <v>2017</v>
      </c>
      <c r="H37" s="7" t="str">
        <f>CONCATENATE("14270342943")</f>
        <v>14270342943</v>
      </c>
      <c r="I37" s="7" t="s">
        <v>30</v>
      </c>
      <c r="J37" s="7" t="s">
        <v>31</v>
      </c>
      <c r="K37" s="7" t="str">
        <f>CONCATENATE("")</f>
        <v/>
      </c>
      <c r="L37" s="7" t="str">
        <f>CONCATENATE("19 19.2 6b")</f>
        <v>19 19.2 6b</v>
      </c>
      <c r="M37" s="7" t="str">
        <f>CONCATENATE("81000910430")</f>
        <v>81000910430</v>
      </c>
      <c r="N37" s="7" t="s">
        <v>120</v>
      </c>
      <c r="O37" s="7" t="s">
        <v>121</v>
      </c>
      <c r="P37" s="8">
        <v>44544</v>
      </c>
      <c r="Q37" s="7" t="s">
        <v>32</v>
      </c>
      <c r="R37" s="7" t="s">
        <v>46</v>
      </c>
      <c r="S37" s="7" t="s">
        <v>34</v>
      </c>
      <c r="T37" s="7"/>
      <c r="U37" s="7" t="s">
        <v>35</v>
      </c>
      <c r="V37" s="9">
        <v>45815.07</v>
      </c>
      <c r="W37" s="9">
        <v>19755.46</v>
      </c>
      <c r="X37" s="9">
        <v>18243.560000000001</v>
      </c>
      <c r="Y37" s="7">
        <v>0</v>
      </c>
      <c r="Z37" s="9">
        <v>7816.05</v>
      </c>
    </row>
    <row r="38" spans="1:26" x14ac:dyDescent="0.35">
      <c r="A38" s="7" t="s">
        <v>27</v>
      </c>
      <c r="B38" s="7" t="s">
        <v>28</v>
      </c>
      <c r="C38" s="7" t="s">
        <v>50</v>
      </c>
      <c r="D38" s="7" t="s">
        <v>50</v>
      </c>
      <c r="E38" s="7" t="s">
        <v>42</v>
      </c>
      <c r="F38" s="7" t="s">
        <v>42</v>
      </c>
      <c r="G38" s="7">
        <v>2017</v>
      </c>
      <c r="H38" s="7" t="str">
        <f>CONCATENATE("14270346399")</f>
        <v>14270346399</v>
      </c>
      <c r="I38" s="7" t="s">
        <v>30</v>
      </c>
      <c r="J38" s="7" t="s">
        <v>31</v>
      </c>
      <c r="K38" s="7" t="str">
        <f>CONCATENATE("")</f>
        <v/>
      </c>
      <c r="L38" s="7" t="str">
        <f>CONCATENATE("19 19.2 6b")</f>
        <v>19 19.2 6b</v>
      </c>
      <c r="M38" s="7" t="str">
        <f>CONCATENATE("02624260416")</f>
        <v>02624260416</v>
      </c>
      <c r="N38" s="7" t="s">
        <v>122</v>
      </c>
      <c r="O38" s="7" t="s">
        <v>123</v>
      </c>
      <c r="P38" s="8">
        <v>44545</v>
      </c>
      <c r="Q38" s="7" t="s">
        <v>32</v>
      </c>
      <c r="R38" s="7" t="s">
        <v>46</v>
      </c>
      <c r="S38" s="7" t="s">
        <v>34</v>
      </c>
      <c r="T38" s="7"/>
      <c r="U38" s="7" t="s">
        <v>35</v>
      </c>
      <c r="V38" s="9">
        <v>83616.34</v>
      </c>
      <c r="W38" s="9">
        <v>36055.370000000003</v>
      </c>
      <c r="X38" s="9">
        <v>33296.03</v>
      </c>
      <c r="Y38" s="7">
        <v>0</v>
      </c>
      <c r="Z38" s="9">
        <v>14264.94</v>
      </c>
    </row>
    <row r="39" spans="1:26" x14ac:dyDescent="0.35">
      <c r="A39" s="7" t="s">
        <v>27</v>
      </c>
      <c r="B39" s="7" t="s">
        <v>28</v>
      </c>
      <c r="C39" s="7" t="s">
        <v>50</v>
      </c>
      <c r="D39" s="7" t="s">
        <v>50</v>
      </c>
      <c r="E39" s="7" t="s">
        <v>42</v>
      </c>
      <c r="F39" s="7" t="s">
        <v>42</v>
      </c>
      <c r="G39" s="7">
        <v>2017</v>
      </c>
      <c r="H39" s="7" t="str">
        <f>CONCATENATE("14270346357")</f>
        <v>14270346357</v>
      </c>
      <c r="I39" s="7" t="s">
        <v>30</v>
      </c>
      <c r="J39" s="7" t="s">
        <v>31</v>
      </c>
      <c r="K39" s="7" t="str">
        <f>CONCATENATE("")</f>
        <v/>
      </c>
      <c r="L39" s="7" t="str">
        <f>CONCATENATE("19 19.2 6b")</f>
        <v>19 19.2 6b</v>
      </c>
      <c r="M39" s="7" t="str">
        <f>CONCATENATE("00314800418")</f>
        <v>00314800418</v>
      </c>
      <c r="N39" s="7" t="s">
        <v>124</v>
      </c>
      <c r="O39" s="7" t="s">
        <v>123</v>
      </c>
      <c r="P39" s="8">
        <v>44545</v>
      </c>
      <c r="Q39" s="7" t="s">
        <v>32</v>
      </c>
      <c r="R39" s="7" t="s">
        <v>46</v>
      </c>
      <c r="S39" s="7" t="s">
        <v>34</v>
      </c>
      <c r="T39" s="7"/>
      <c r="U39" s="7" t="s">
        <v>35</v>
      </c>
      <c r="V39" s="9">
        <v>50559.96</v>
      </c>
      <c r="W39" s="9">
        <v>21801.45</v>
      </c>
      <c r="X39" s="9">
        <v>20132.98</v>
      </c>
      <c r="Y39" s="7">
        <v>0</v>
      </c>
      <c r="Z39" s="9">
        <v>8625.5300000000007</v>
      </c>
    </row>
    <row r="40" spans="1:26" x14ac:dyDescent="0.35">
      <c r="A40" s="7" t="s">
        <v>27</v>
      </c>
      <c r="B40" s="7" t="s">
        <v>28</v>
      </c>
      <c r="C40" s="7" t="s">
        <v>50</v>
      </c>
      <c r="D40" s="7" t="s">
        <v>50</v>
      </c>
      <c r="E40" s="7" t="s">
        <v>42</v>
      </c>
      <c r="F40" s="7" t="s">
        <v>42</v>
      </c>
      <c r="G40" s="7">
        <v>2017</v>
      </c>
      <c r="H40" s="7" t="str">
        <f>CONCATENATE("14270346373")</f>
        <v>14270346373</v>
      </c>
      <c r="I40" s="7" t="s">
        <v>30</v>
      </c>
      <c r="J40" s="7" t="s">
        <v>31</v>
      </c>
      <c r="K40" s="7" t="str">
        <f>CONCATENATE("")</f>
        <v/>
      </c>
      <c r="L40" s="7" t="str">
        <f>CONCATENATE("19 19.2 6b")</f>
        <v>19 19.2 6b</v>
      </c>
      <c r="M40" s="7" t="str">
        <f>CONCATENATE("80002490417")</f>
        <v>80002490417</v>
      </c>
      <c r="N40" s="7" t="s">
        <v>125</v>
      </c>
      <c r="O40" s="7" t="s">
        <v>123</v>
      </c>
      <c r="P40" s="8">
        <v>44545</v>
      </c>
      <c r="Q40" s="7" t="s">
        <v>32</v>
      </c>
      <c r="R40" s="7" t="s">
        <v>46</v>
      </c>
      <c r="S40" s="7" t="s">
        <v>34</v>
      </c>
      <c r="T40" s="7"/>
      <c r="U40" s="7" t="s">
        <v>35</v>
      </c>
      <c r="V40" s="9">
        <v>21392.84</v>
      </c>
      <c r="W40" s="9">
        <v>9224.59</v>
      </c>
      <c r="X40" s="9">
        <v>8518.6299999999992</v>
      </c>
      <c r="Y40" s="7">
        <v>0</v>
      </c>
      <c r="Z40" s="9">
        <v>3649.62</v>
      </c>
    </row>
    <row r="41" spans="1:26" x14ac:dyDescent="0.35">
      <c r="A41" s="7" t="s">
        <v>27</v>
      </c>
      <c r="B41" s="7" t="s">
        <v>28</v>
      </c>
      <c r="C41" s="7" t="s">
        <v>50</v>
      </c>
      <c r="D41" s="7" t="s">
        <v>50</v>
      </c>
      <c r="E41" s="7" t="s">
        <v>42</v>
      </c>
      <c r="F41" s="7" t="s">
        <v>42</v>
      </c>
      <c r="G41" s="7">
        <v>2017</v>
      </c>
      <c r="H41" s="7" t="str">
        <f>CONCATENATE("14270346365")</f>
        <v>14270346365</v>
      </c>
      <c r="I41" s="7" t="s">
        <v>30</v>
      </c>
      <c r="J41" s="7" t="s">
        <v>31</v>
      </c>
      <c r="K41" s="7" t="str">
        <f>CONCATENATE("")</f>
        <v/>
      </c>
      <c r="L41" s="7" t="str">
        <f>CONCATENATE("19 19.2 6b")</f>
        <v>19 19.2 6b</v>
      </c>
      <c r="M41" s="7" t="str">
        <f>CONCATENATE("81005240411")</f>
        <v>81005240411</v>
      </c>
      <c r="N41" s="7" t="s">
        <v>126</v>
      </c>
      <c r="O41" s="7" t="s">
        <v>123</v>
      </c>
      <c r="P41" s="8">
        <v>44545</v>
      </c>
      <c r="Q41" s="7" t="s">
        <v>32</v>
      </c>
      <c r="R41" s="7" t="s">
        <v>46</v>
      </c>
      <c r="S41" s="7" t="s">
        <v>34</v>
      </c>
      <c r="T41" s="7"/>
      <c r="U41" s="7" t="s">
        <v>35</v>
      </c>
      <c r="V41" s="9">
        <v>88109.8</v>
      </c>
      <c r="W41" s="9">
        <v>37992.949999999997</v>
      </c>
      <c r="X41" s="9">
        <v>35085.32</v>
      </c>
      <c r="Y41" s="7">
        <v>0</v>
      </c>
      <c r="Z41" s="9">
        <v>15031.53</v>
      </c>
    </row>
    <row r="42" spans="1:26" x14ac:dyDescent="0.35">
      <c r="A42" s="7" t="s">
        <v>27</v>
      </c>
      <c r="B42" s="7" t="s">
        <v>28</v>
      </c>
      <c r="C42" s="7" t="s">
        <v>50</v>
      </c>
      <c r="D42" s="7" t="s">
        <v>50</v>
      </c>
      <c r="E42" s="7" t="s">
        <v>42</v>
      </c>
      <c r="F42" s="7" t="s">
        <v>42</v>
      </c>
      <c r="G42" s="7">
        <v>2017</v>
      </c>
      <c r="H42" s="7" t="str">
        <f>CONCATENATE("14270346381")</f>
        <v>14270346381</v>
      </c>
      <c r="I42" s="7" t="s">
        <v>30</v>
      </c>
      <c r="J42" s="7" t="s">
        <v>31</v>
      </c>
      <c r="K42" s="7" t="str">
        <f>CONCATENATE("")</f>
        <v/>
      </c>
      <c r="L42" s="7" t="str">
        <f>CONCATENATE("19 19.2 6b")</f>
        <v>19 19.2 6b</v>
      </c>
      <c r="M42" s="7" t="str">
        <f>CONCATENATE("00129020418")</f>
        <v>00129020418</v>
      </c>
      <c r="N42" s="7" t="s">
        <v>127</v>
      </c>
      <c r="O42" s="7" t="s">
        <v>123</v>
      </c>
      <c r="P42" s="8">
        <v>44545</v>
      </c>
      <c r="Q42" s="7" t="s">
        <v>32</v>
      </c>
      <c r="R42" s="7" t="s">
        <v>46</v>
      </c>
      <c r="S42" s="7" t="s">
        <v>34</v>
      </c>
      <c r="T42" s="7"/>
      <c r="U42" s="7" t="s">
        <v>35</v>
      </c>
      <c r="V42" s="9">
        <v>21584.14</v>
      </c>
      <c r="W42" s="9">
        <v>9307.08</v>
      </c>
      <c r="X42" s="9">
        <v>8594.7999999999993</v>
      </c>
      <c r="Y42" s="7">
        <v>0</v>
      </c>
      <c r="Z42" s="9">
        <v>3682.26</v>
      </c>
    </row>
    <row r="43" spans="1:26" x14ac:dyDescent="0.35">
      <c r="A43" s="7" t="s">
        <v>27</v>
      </c>
      <c r="B43" s="7" t="s">
        <v>28</v>
      </c>
      <c r="C43" s="7" t="s">
        <v>50</v>
      </c>
      <c r="D43" s="7" t="s">
        <v>55</v>
      </c>
      <c r="E43" s="7" t="s">
        <v>42</v>
      </c>
      <c r="F43" s="7" t="s">
        <v>42</v>
      </c>
      <c r="G43" s="7">
        <v>2017</v>
      </c>
      <c r="H43" s="7" t="str">
        <f>CONCATENATE("14270341259")</f>
        <v>14270341259</v>
      </c>
      <c r="I43" s="7" t="s">
        <v>30</v>
      </c>
      <c r="J43" s="7" t="s">
        <v>31</v>
      </c>
      <c r="K43" s="7" t="str">
        <f>CONCATENATE("")</f>
        <v/>
      </c>
      <c r="L43" s="7" t="str">
        <f>CONCATENATE("4 4.1 2a")</f>
        <v>4 4.1 2a</v>
      </c>
      <c r="M43" s="7" t="str">
        <f>CONCATENATE("LVEDVD84L17G479I")</f>
        <v>LVEDVD84L17G479I</v>
      </c>
      <c r="N43" s="7" t="s">
        <v>128</v>
      </c>
      <c r="O43" s="7" t="s">
        <v>129</v>
      </c>
      <c r="P43" s="8">
        <v>44543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80309.25</v>
      </c>
      <c r="W43" s="9">
        <v>34629.35</v>
      </c>
      <c r="X43" s="9">
        <v>31979.14</v>
      </c>
      <c r="Y43" s="7">
        <v>0</v>
      </c>
      <c r="Z43" s="9">
        <v>13700.76</v>
      </c>
    </row>
    <row r="44" spans="1:26" x14ac:dyDescent="0.35">
      <c r="A44" s="7" t="s">
        <v>27</v>
      </c>
      <c r="B44" s="7" t="s">
        <v>28</v>
      </c>
      <c r="C44" s="7" t="s">
        <v>50</v>
      </c>
      <c r="D44" s="7" t="s">
        <v>55</v>
      </c>
      <c r="E44" s="7" t="s">
        <v>42</v>
      </c>
      <c r="F44" s="7" t="s">
        <v>42</v>
      </c>
      <c r="G44" s="7">
        <v>2017</v>
      </c>
      <c r="H44" s="7" t="str">
        <f>CONCATENATE("14270342927")</f>
        <v>14270342927</v>
      </c>
      <c r="I44" s="7" t="s">
        <v>30</v>
      </c>
      <c r="J44" s="7" t="s">
        <v>31</v>
      </c>
      <c r="K44" s="7" t="str">
        <f>CONCATENATE("")</f>
        <v/>
      </c>
      <c r="L44" s="7" t="str">
        <f>CONCATENATE("4 4.1 2a")</f>
        <v>4 4.1 2a</v>
      </c>
      <c r="M44" s="7" t="str">
        <f>CONCATENATE("PRNMRA44B07D488Z")</f>
        <v>PRNMRA44B07D488Z</v>
      </c>
      <c r="N44" s="7" t="s">
        <v>130</v>
      </c>
      <c r="O44" s="7" t="s">
        <v>129</v>
      </c>
      <c r="P44" s="8">
        <v>44543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36809.43</v>
      </c>
      <c r="W44" s="9">
        <v>15872.23</v>
      </c>
      <c r="X44" s="9">
        <v>14657.52</v>
      </c>
      <c r="Y44" s="7">
        <v>0</v>
      </c>
      <c r="Z44" s="9">
        <v>6279.68</v>
      </c>
    </row>
    <row r="45" spans="1:26" x14ac:dyDescent="0.35">
      <c r="A45" s="7" t="s">
        <v>27</v>
      </c>
      <c r="B45" s="7" t="s">
        <v>28</v>
      </c>
      <c r="C45" s="7" t="s">
        <v>50</v>
      </c>
      <c r="D45" s="7" t="s">
        <v>59</v>
      </c>
      <c r="E45" s="7" t="s">
        <v>42</v>
      </c>
      <c r="F45" s="7" t="s">
        <v>42</v>
      </c>
      <c r="G45" s="7">
        <v>2017</v>
      </c>
      <c r="H45" s="7" t="str">
        <f>CONCATENATE("14270345342")</f>
        <v>14270345342</v>
      </c>
      <c r="I45" s="7" t="s">
        <v>30</v>
      </c>
      <c r="J45" s="7" t="s">
        <v>31</v>
      </c>
      <c r="K45" s="7" t="str">
        <f>CONCATENATE("")</f>
        <v/>
      </c>
      <c r="L45" s="7" t="str">
        <f>CONCATENATE("4 4.1 2a")</f>
        <v>4 4.1 2a</v>
      </c>
      <c r="M45" s="7" t="str">
        <f>CONCATENATE("01927130433")</f>
        <v>01927130433</v>
      </c>
      <c r="N45" s="7" t="s">
        <v>131</v>
      </c>
      <c r="O45" s="7" t="s">
        <v>132</v>
      </c>
      <c r="P45" s="8">
        <v>44543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97993.66</v>
      </c>
      <c r="W45" s="9">
        <v>42254.87</v>
      </c>
      <c r="X45" s="9">
        <v>39021.08</v>
      </c>
      <c r="Y45" s="7">
        <v>0</v>
      </c>
      <c r="Z45" s="9">
        <v>16717.71</v>
      </c>
    </row>
    <row r="46" spans="1:26" x14ac:dyDescent="0.35">
      <c r="A46" s="7" t="s">
        <v>27</v>
      </c>
      <c r="B46" s="7" t="s">
        <v>28</v>
      </c>
      <c r="C46" s="7" t="s">
        <v>50</v>
      </c>
      <c r="D46" s="7" t="s">
        <v>55</v>
      </c>
      <c r="E46" s="7" t="s">
        <v>41</v>
      </c>
      <c r="F46" s="7" t="s">
        <v>98</v>
      </c>
      <c r="G46" s="7">
        <v>2017</v>
      </c>
      <c r="H46" s="7" t="str">
        <f>CONCATENATE("14270340939")</f>
        <v>14270340939</v>
      </c>
      <c r="I46" s="7" t="s">
        <v>30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CONCATENATE("BRCTZN61P58C830P")</f>
        <v>BRCTZN61P58C830P</v>
      </c>
      <c r="N46" s="7" t="s">
        <v>133</v>
      </c>
      <c r="O46" s="7" t="s">
        <v>93</v>
      </c>
      <c r="P46" s="8">
        <v>44540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7000</v>
      </c>
      <c r="W46" s="9">
        <v>3018.4</v>
      </c>
      <c r="X46" s="9">
        <v>2787.4</v>
      </c>
      <c r="Y46" s="7">
        <v>0</v>
      </c>
      <c r="Z46" s="9">
        <v>1194.2</v>
      </c>
    </row>
    <row r="47" spans="1:26" x14ac:dyDescent="0.35">
      <c r="A47" s="7" t="s">
        <v>27</v>
      </c>
      <c r="B47" s="7" t="s">
        <v>28</v>
      </c>
      <c r="C47" s="7" t="s">
        <v>50</v>
      </c>
      <c r="D47" s="7" t="s">
        <v>50</v>
      </c>
      <c r="E47" s="7" t="s">
        <v>42</v>
      </c>
      <c r="F47" s="7" t="s">
        <v>42</v>
      </c>
      <c r="G47" s="7">
        <v>2017</v>
      </c>
      <c r="H47" s="7" t="str">
        <f>CONCATENATE("14270341150")</f>
        <v>14270341150</v>
      </c>
      <c r="I47" s="7" t="s">
        <v>30</v>
      </c>
      <c r="J47" s="7" t="s">
        <v>31</v>
      </c>
      <c r="K47" s="7" t="str">
        <f>CONCATENATE("")</f>
        <v/>
      </c>
      <c r="L47" s="7" t="str">
        <f>CONCATENATE("19 19.2 6b")</f>
        <v>19 19.2 6b</v>
      </c>
      <c r="M47" s="7" t="str">
        <f>CONCATENATE("81001890441")</f>
        <v>81001890441</v>
      </c>
      <c r="N47" s="7" t="s">
        <v>134</v>
      </c>
      <c r="O47" s="7" t="s">
        <v>135</v>
      </c>
      <c r="P47" s="8">
        <v>44540</v>
      </c>
      <c r="Q47" s="7" t="s">
        <v>32</v>
      </c>
      <c r="R47" s="7" t="s">
        <v>46</v>
      </c>
      <c r="S47" s="7" t="s">
        <v>34</v>
      </c>
      <c r="T47" s="7"/>
      <c r="U47" s="7" t="s">
        <v>35</v>
      </c>
      <c r="V47" s="9">
        <v>20990.37</v>
      </c>
      <c r="W47" s="9">
        <v>9051.0499999999993</v>
      </c>
      <c r="X47" s="9">
        <v>8358.3700000000008</v>
      </c>
      <c r="Y47" s="7">
        <v>0</v>
      </c>
      <c r="Z47" s="9">
        <v>3580.95</v>
      </c>
    </row>
    <row r="48" spans="1:26" x14ac:dyDescent="0.35">
      <c r="A48" s="7" t="s">
        <v>27</v>
      </c>
      <c r="B48" s="7" t="s">
        <v>28</v>
      </c>
      <c r="C48" s="7" t="s">
        <v>50</v>
      </c>
      <c r="D48" s="7" t="s">
        <v>55</v>
      </c>
      <c r="E48" s="7" t="s">
        <v>42</v>
      </c>
      <c r="F48" s="7" t="s">
        <v>42</v>
      </c>
      <c r="G48" s="7">
        <v>2017</v>
      </c>
      <c r="H48" s="7" t="str">
        <f>CONCATENATE("14270337109")</f>
        <v>14270337109</v>
      </c>
      <c r="I48" s="7" t="s">
        <v>30</v>
      </c>
      <c r="J48" s="7" t="s">
        <v>31</v>
      </c>
      <c r="K48" s="7" t="str">
        <f>CONCATENATE("")</f>
        <v/>
      </c>
      <c r="L48" s="7" t="str">
        <f>CONCATENATE("4 4.1 2a")</f>
        <v>4 4.1 2a</v>
      </c>
      <c r="M48" s="7" t="str">
        <f>CONCATENATE("00600040414")</f>
        <v>00600040414</v>
      </c>
      <c r="N48" s="7" t="s">
        <v>136</v>
      </c>
      <c r="O48" s="7" t="s">
        <v>84</v>
      </c>
      <c r="P48" s="8">
        <v>44543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65206.26</v>
      </c>
      <c r="W48" s="9">
        <v>28116.94</v>
      </c>
      <c r="X48" s="9">
        <v>25965.13</v>
      </c>
      <c r="Y48" s="7">
        <v>0</v>
      </c>
      <c r="Z48" s="9">
        <v>11124.19</v>
      </c>
    </row>
    <row r="49" spans="1:26" x14ac:dyDescent="0.35">
      <c r="A49" s="7" t="s">
        <v>27</v>
      </c>
      <c r="B49" s="7" t="s">
        <v>43</v>
      </c>
      <c r="C49" s="7" t="s">
        <v>50</v>
      </c>
      <c r="D49" s="7" t="s">
        <v>95</v>
      </c>
      <c r="E49" s="7" t="s">
        <v>38</v>
      </c>
      <c r="F49" s="7" t="s">
        <v>137</v>
      </c>
      <c r="G49" s="7">
        <v>2021</v>
      </c>
      <c r="H49" s="7" t="str">
        <f>CONCATENATE("14240335753")</f>
        <v>14240335753</v>
      </c>
      <c r="I49" s="7" t="s">
        <v>30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CONCATENATE("MSCFST76H30B474R")</f>
        <v>MSCFST76H30B474R</v>
      </c>
      <c r="N49" s="7" t="s">
        <v>138</v>
      </c>
      <c r="O49" s="7" t="s">
        <v>139</v>
      </c>
      <c r="P49" s="8">
        <v>44545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30871.66</v>
      </c>
      <c r="W49" s="9">
        <v>13311.86</v>
      </c>
      <c r="X49" s="9">
        <v>12293.1</v>
      </c>
      <c r="Y49" s="7">
        <v>0</v>
      </c>
      <c r="Z49" s="9">
        <v>5266.7</v>
      </c>
    </row>
    <row r="50" spans="1:26" x14ac:dyDescent="0.35">
      <c r="A50" s="7" t="s">
        <v>27</v>
      </c>
      <c r="B50" s="7" t="s">
        <v>43</v>
      </c>
      <c r="C50" s="7" t="s">
        <v>50</v>
      </c>
      <c r="D50" s="7" t="s">
        <v>95</v>
      </c>
      <c r="E50" s="7" t="s">
        <v>41</v>
      </c>
      <c r="F50" s="7" t="s">
        <v>140</v>
      </c>
      <c r="G50" s="7">
        <v>2021</v>
      </c>
      <c r="H50" s="7" t="str">
        <f>CONCATENATE("14240789447")</f>
        <v>14240789447</v>
      </c>
      <c r="I50" s="7" t="s">
        <v>30</v>
      </c>
      <c r="J50" s="7" t="s">
        <v>31</v>
      </c>
      <c r="K50" s="7" t="str">
        <f>CONCATENATE("")</f>
        <v/>
      </c>
      <c r="L50" s="7" t="str">
        <f>CONCATENATE("11 11.1 4b")</f>
        <v>11 11.1 4b</v>
      </c>
      <c r="M50" s="7" t="str">
        <f>CONCATENATE("SLVFBA73D20B474Q")</f>
        <v>SLVFBA73D20B474Q</v>
      </c>
      <c r="N50" s="7" t="s">
        <v>141</v>
      </c>
      <c r="O50" s="7" t="s">
        <v>139</v>
      </c>
      <c r="P50" s="8">
        <v>44545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3070.98</v>
      </c>
      <c r="W50" s="9">
        <v>1324.21</v>
      </c>
      <c r="X50" s="9">
        <v>1222.8599999999999</v>
      </c>
      <c r="Y50" s="7">
        <v>0</v>
      </c>
      <c r="Z50" s="7">
        <v>523.91</v>
      </c>
    </row>
    <row r="51" spans="1:26" x14ac:dyDescent="0.35">
      <c r="A51" s="7" t="s">
        <v>27</v>
      </c>
      <c r="B51" s="7" t="s">
        <v>43</v>
      </c>
      <c r="C51" s="7" t="s">
        <v>50</v>
      </c>
      <c r="D51" s="7" t="s">
        <v>95</v>
      </c>
      <c r="E51" s="7" t="s">
        <v>41</v>
      </c>
      <c r="F51" s="7" t="s">
        <v>140</v>
      </c>
      <c r="G51" s="7">
        <v>2021</v>
      </c>
      <c r="H51" s="7" t="str">
        <f>CONCATENATE("14240789595")</f>
        <v>14240789595</v>
      </c>
      <c r="I51" s="7" t="s">
        <v>30</v>
      </c>
      <c r="J51" s="7" t="s">
        <v>31</v>
      </c>
      <c r="K51" s="7" t="str">
        <f>CONCATENATE("")</f>
        <v/>
      </c>
      <c r="L51" s="7" t="str">
        <f>CONCATENATE("11 11.2 4b")</f>
        <v>11 11.2 4b</v>
      </c>
      <c r="M51" s="7" t="str">
        <f>CONCATENATE("SLVFBA73D20B474Q")</f>
        <v>SLVFBA73D20B474Q</v>
      </c>
      <c r="N51" s="7" t="s">
        <v>141</v>
      </c>
      <c r="O51" s="7" t="s">
        <v>139</v>
      </c>
      <c r="P51" s="8">
        <v>44545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2033.44</v>
      </c>
      <c r="W51" s="7">
        <v>876.82</v>
      </c>
      <c r="X51" s="7">
        <v>809.72</v>
      </c>
      <c r="Y51" s="7">
        <v>0</v>
      </c>
      <c r="Z51" s="7">
        <v>346.9</v>
      </c>
    </row>
    <row r="52" spans="1:26" x14ac:dyDescent="0.35">
      <c r="A52" s="7" t="s">
        <v>27</v>
      </c>
      <c r="B52" s="7" t="s">
        <v>43</v>
      </c>
      <c r="C52" s="7" t="s">
        <v>50</v>
      </c>
      <c r="D52" s="7" t="s">
        <v>95</v>
      </c>
      <c r="E52" s="7" t="s">
        <v>41</v>
      </c>
      <c r="F52" s="7" t="s">
        <v>142</v>
      </c>
      <c r="G52" s="7">
        <v>2021</v>
      </c>
      <c r="H52" s="7" t="str">
        <f>CONCATENATE("14240425687")</f>
        <v>14240425687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CONCATENATE("VCRLBT69C58L191T")</f>
        <v>VCRLBT69C58L191T</v>
      </c>
      <c r="N52" s="7" t="s">
        <v>143</v>
      </c>
      <c r="O52" s="7" t="s">
        <v>139</v>
      </c>
      <c r="P52" s="8">
        <v>44545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2676.27</v>
      </c>
      <c r="W52" s="9">
        <v>1154.01</v>
      </c>
      <c r="X52" s="9">
        <v>1065.69</v>
      </c>
      <c r="Y52" s="7">
        <v>0</v>
      </c>
      <c r="Z52" s="7">
        <v>456.57</v>
      </c>
    </row>
    <row r="53" spans="1:26" x14ac:dyDescent="0.35">
      <c r="A53" s="7" t="s">
        <v>27</v>
      </c>
      <c r="B53" s="7" t="s">
        <v>43</v>
      </c>
      <c r="C53" s="7" t="s">
        <v>50</v>
      </c>
      <c r="D53" s="7" t="s">
        <v>95</v>
      </c>
      <c r="E53" s="7" t="s">
        <v>41</v>
      </c>
      <c r="F53" s="7" t="s">
        <v>144</v>
      </c>
      <c r="G53" s="7">
        <v>2021</v>
      </c>
      <c r="H53" s="7" t="str">
        <f>CONCATENATE("14240392291")</f>
        <v>14240392291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CONCATENATE("PSCMGH95D50B474V")</f>
        <v>PSCMGH95D50B474V</v>
      </c>
      <c r="N53" s="7" t="s">
        <v>145</v>
      </c>
      <c r="O53" s="7" t="s">
        <v>139</v>
      </c>
      <c r="P53" s="8">
        <v>44545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1848</v>
      </c>
      <c r="W53" s="7">
        <v>796.86</v>
      </c>
      <c r="X53" s="7">
        <v>735.87</v>
      </c>
      <c r="Y53" s="7">
        <v>0</v>
      </c>
      <c r="Z53" s="7">
        <v>315.27</v>
      </c>
    </row>
    <row r="54" spans="1:26" x14ac:dyDescent="0.35">
      <c r="A54" s="7" t="s">
        <v>27</v>
      </c>
      <c r="B54" s="7" t="s">
        <v>43</v>
      </c>
      <c r="C54" s="7" t="s">
        <v>50</v>
      </c>
      <c r="D54" s="7" t="s">
        <v>95</v>
      </c>
      <c r="E54" s="7" t="s">
        <v>41</v>
      </c>
      <c r="F54" s="7" t="s">
        <v>144</v>
      </c>
      <c r="G54" s="7">
        <v>2021</v>
      </c>
      <c r="H54" s="7" t="str">
        <f>CONCATENATE("14240391889")</f>
        <v>14240391889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CONCATENATE("PRSMHL86S54I156V")</f>
        <v>PRSMHL86S54I156V</v>
      </c>
      <c r="N54" s="7" t="s">
        <v>146</v>
      </c>
      <c r="O54" s="7" t="s">
        <v>139</v>
      </c>
      <c r="P54" s="8">
        <v>44545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11510.69</v>
      </c>
      <c r="W54" s="9">
        <v>4963.41</v>
      </c>
      <c r="X54" s="9">
        <v>4583.5600000000004</v>
      </c>
      <c r="Y54" s="7">
        <v>0</v>
      </c>
      <c r="Z54" s="9">
        <v>1963.72</v>
      </c>
    </row>
    <row r="55" spans="1:26" x14ac:dyDescent="0.35">
      <c r="A55" s="7" t="s">
        <v>27</v>
      </c>
      <c r="B55" s="7" t="s">
        <v>43</v>
      </c>
      <c r="C55" s="7" t="s">
        <v>50</v>
      </c>
      <c r="D55" s="7" t="s">
        <v>95</v>
      </c>
      <c r="E55" s="7" t="s">
        <v>29</v>
      </c>
      <c r="F55" s="7" t="s">
        <v>147</v>
      </c>
      <c r="G55" s="7">
        <v>2021</v>
      </c>
      <c r="H55" s="7" t="str">
        <f>CONCATENATE("14241099499")</f>
        <v>14241099499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11.1 4b")</f>
        <v>11 11.1 4b</v>
      </c>
      <c r="M55" s="7" t="str">
        <f>CONCATENATE("CMPLRI86A52I156H")</f>
        <v>CMPLRI86A52I156H</v>
      </c>
      <c r="N55" s="7" t="s">
        <v>148</v>
      </c>
      <c r="O55" s="7" t="s">
        <v>139</v>
      </c>
      <c r="P55" s="8">
        <v>44545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43636.7</v>
      </c>
      <c r="W55" s="9">
        <v>18816.150000000001</v>
      </c>
      <c r="X55" s="9">
        <v>17376.13</v>
      </c>
      <c r="Y55" s="7">
        <v>0</v>
      </c>
      <c r="Z55" s="9">
        <v>7444.42</v>
      </c>
    </row>
    <row r="56" spans="1:26" x14ac:dyDescent="0.35">
      <c r="A56" s="7" t="s">
        <v>27</v>
      </c>
      <c r="B56" s="7" t="s">
        <v>43</v>
      </c>
      <c r="C56" s="7" t="s">
        <v>50</v>
      </c>
      <c r="D56" s="7" t="s">
        <v>95</v>
      </c>
      <c r="E56" s="7" t="s">
        <v>41</v>
      </c>
      <c r="F56" s="7" t="s">
        <v>149</v>
      </c>
      <c r="G56" s="7">
        <v>2021</v>
      </c>
      <c r="H56" s="7" t="str">
        <f>CONCATENATE("14240591215")</f>
        <v>14240591215</v>
      </c>
      <c r="I56" s="7" t="s">
        <v>30</v>
      </c>
      <c r="J56" s="7" t="s">
        <v>31</v>
      </c>
      <c r="K56" s="7" t="str">
        <f>CONCATENATE("")</f>
        <v/>
      </c>
      <c r="L56" s="7" t="str">
        <f>CONCATENATE("11 11.2 4b")</f>
        <v>11 11.2 4b</v>
      </c>
      <c r="M56" s="7" t="str">
        <f>CONCATENATE("SCRMRA30B56C203F")</f>
        <v>SCRMRA30B56C203F</v>
      </c>
      <c r="N56" s="7" t="s">
        <v>150</v>
      </c>
      <c r="O56" s="7" t="s">
        <v>139</v>
      </c>
      <c r="P56" s="8">
        <v>44545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39170.239999999998</v>
      </c>
      <c r="W56" s="9">
        <v>16890.21</v>
      </c>
      <c r="X56" s="9">
        <v>15597.59</v>
      </c>
      <c r="Y56" s="7">
        <v>0</v>
      </c>
      <c r="Z56" s="9">
        <v>6682.44</v>
      </c>
    </row>
    <row r="57" spans="1:26" x14ac:dyDescent="0.35">
      <c r="A57" s="7" t="s">
        <v>27</v>
      </c>
      <c r="B57" s="7" t="s">
        <v>43</v>
      </c>
      <c r="C57" s="7" t="s">
        <v>50</v>
      </c>
      <c r="D57" s="7" t="s">
        <v>95</v>
      </c>
      <c r="E57" s="7" t="s">
        <v>29</v>
      </c>
      <c r="F57" s="7" t="s">
        <v>147</v>
      </c>
      <c r="G57" s="7">
        <v>2021</v>
      </c>
      <c r="H57" s="7" t="str">
        <f>CONCATENATE("14241230532")</f>
        <v>14241230532</v>
      </c>
      <c r="I57" s="7" t="s">
        <v>30</v>
      </c>
      <c r="J57" s="7" t="s">
        <v>31</v>
      </c>
      <c r="K57" s="7" t="str">
        <f>CONCATENATE("")</f>
        <v/>
      </c>
      <c r="L57" s="7" t="str">
        <f>CONCATENATE("11 11.2 4b")</f>
        <v>11 11.2 4b</v>
      </c>
      <c r="M57" s="7" t="str">
        <f>CONCATENATE("MRCRCR99H13A271Q")</f>
        <v>MRCRCR99H13A271Q</v>
      </c>
      <c r="N57" s="7" t="s">
        <v>151</v>
      </c>
      <c r="O57" s="7" t="s">
        <v>139</v>
      </c>
      <c r="P57" s="8">
        <v>44545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8988.84</v>
      </c>
      <c r="W57" s="9">
        <v>3875.99</v>
      </c>
      <c r="X57" s="9">
        <v>3579.36</v>
      </c>
      <c r="Y57" s="7">
        <v>0</v>
      </c>
      <c r="Z57" s="9">
        <v>1533.49</v>
      </c>
    </row>
    <row r="58" spans="1:26" x14ac:dyDescent="0.35">
      <c r="A58" s="7" t="s">
        <v>27</v>
      </c>
      <c r="B58" s="7" t="s">
        <v>43</v>
      </c>
      <c r="C58" s="7" t="s">
        <v>50</v>
      </c>
      <c r="D58" s="7" t="s">
        <v>95</v>
      </c>
      <c r="E58" s="7" t="s">
        <v>29</v>
      </c>
      <c r="F58" s="7" t="s">
        <v>147</v>
      </c>
      <c r="G58" s="7">
        <v>2021</v>
      </c>
      <c r="H58" s="7" t="str">
        <f>CONCATENATE("14240994971")</f>
        <v>14240994971</v>
      </c>
      <c r="I58" s="7" t="s">
        <v>30</v>
      </c>
      <c r="J58" s="7" t="s">
        <v>31</v>
      </c>
      <c r="K58" s="7" t="str">
        <f>CONCATENATE("")</f>
        <v/>
      </c>
      <c r="L58" s="7" t="str">
        <f>CONCATENATE("11 11.2 4b")</f>
        <v>11 11.2 4b</v>
      </c>
      <c r="M58" s="7" t="str">
        <f>CONCATENATE("SNTFNC78R54D653N")</f>
        <v>SNTFNC78R54D653N</v>
      </c>
      <c r="N58" s="7" t="s">
        <v>152</v>
      </c>
      <c r="O58" s="7" t="s">
        <v>139</v>
      </c>
      <c r="P58" s="8">
        <v>44545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3706.05</v>
      </c>
      <c r="W58" s="9">
        <v>1598.05</v>
      </c>
      <c r="X58" s="9">
        <v>1475.75</v>
      </c>
      <c r="Y58" s="7">
        <v>0</v>
      </c>
      <c r="Z58" s="7">
        <v>632.25</v>
      </c>
    </row>
    <row r="59" spans="1:26" x14ac:dyDescent="0.35">
      <c r="A59" s="7" t="s">
        <v>27</v>
      </c>
      <c r="B59" s="7" t="s">
        <v>43</v>
      </c>
      <c r="C59" s="7" t="s">
        <v>50</v>
      </c>
      <c r="D59" s="7" t="s">
        <v>95</v>
      </c>
      <c r="E59" s="7" t="s">
        <v>38</v>
      </c>
      <c r="F59" s="7" t="s">
        <v>70</v>
      </c>
      <c r="G59" s="7">
        <v>2021</v>
      </c>
      <c r="H59" s="7" t="str">
        <f>CONCATENATE("14240799883")</f>
        <v>14240799883</v>
      </c>
      <c r="I59" s="7" t="s">
        <v>30</v>
      </c>
      <c r="J59" s="7" t="s">
        <v>31</v>
      </c>
      <c r="K59" s="7" t="str">
        <f>CONCATENATE("")</f>
        <v/>
      </c>
      <c r="L59" s="7" t="str">
        <f>CONCATENATE("11 11.2 4b")</f>
        <v>11 11.2 4b</v>
      </c>
      <c r="M59" s="7" t="str">
        <f>CONCATENATE("LBRMTT93P26A465A")</f>
        <v>LBRMTT93P26A465A</v>
      </c>
      <c r="N59" s="7" t="s">
        <v>153</v>
      </c>
      <c r="O59" s="7" t="s">
        <v>139</v>
      </c>
      <c r="P59" s="8">
        <v>44545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3312.41</v>
      </c>
      <c r="W59" s="9">
        <v>1428.31</v>
      </c>
      <c r="X59" s="9">
        <v>1319</v>
      </c>
      <c r="Y59" s="7">
        <v>0</v>
      </c>
      <c r="Z59" s="7">
        <v>565.1</v>
      </c>
    </row>
    <row r="60" spans="1:26" ht="17.5" x14ac:dyDescent="0.35">
      <c r="A60" s="7" t="s">
        <v>27</v>
      </c>
      <c r="B60" s="7" t="s">
        <v>43</v>
      </c>
      <c r="C60" s="7" t="s">
        <v>50</v>
      </c>
      <c r="D60" s="7" t="s">
        <v>95</v>
      </c>
      <c r="E60" s="7" t="s">
        <v>41</v>
      </c>
      <c r="F60" s="7" t="s">
        <v>142</v>
      </c>
      <c r="G60" s="7">
        <v>2021</v>
      </c>
      <c r="H60" s="7" t="str">
        <f>CONCATENATE("14241226977")</f>
        <v>14241226977</v>
      </c>
      <c r="I60" s="7" t="s">
        <v>30</v>
      </c>
      <c r="J60" s="7" t="s">
        <v>31</v>
      </c>
      <c r="K60" s="7" t="str">
        <f>CONCATENATE("")</f>
        <v/>
      </c>
      <c r="L60" s="7" t="str">
        <f>CONCATENATE("11 11.2 4b")</f>
        <v>11 11.2 4b</v>
      </c>
      <c r="M60" s="7" t="str">
        <f>CONCATENATE("01955930431")</f>
        <v>01955930431</v>
      </c>
      <c r="N60" s="7" t="s">
        <v>154</v>
      </c>
      <c r="O60" s="7" t="s">
        <v>139</v>
      </c>
      <c r="P60" s="8">
        <v>44545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1690.16</v>
      </c>
      <c r="W60" s="7">
        <v>728.8</v>
      </c>
      <c r="X60" s="7">
        <v>673.02</v>
      </c>
      <c r="Y60" s="7">
        <v>0</v>
      </c>
      <c r="Z60" s="7">
        <v>288.33999999999997</v>
      </c>
    </row>
    <row r="61" spans="1:26" x14ac:dyDescent="0.35">
      <c r="A61" s="7" t="s">
        <v>27</v>
      </c>
      <c r="B61" s="7" t="s">
        <v>43</v>
      </c>
      <c r="C61" s="7" t="s">
        <v>50</v>
      </c>
      <c r="D61" s="7" t="s">
        <v>95</v>
      </c>
      <c r="E61" s="7" t="s">
        <v>39</v>
      </c>
      <c r="F61" s="7" t="s">
        <v>155</v>
      </c>
      <c r="G61" s="7">
        <v>2021</v>
      </c>
      <c r="H61" s="7" t="str">
        <f>CONCATENATE("14240398017")</f>
        <v>14240398017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CONCATENATE("VTIFLC49L17D564A")</f>
        <v>VTIFLC49L17D564A</v>
      </c>
      <c r="N61" s="7" t="s">
        <v>156</v>
      </c>
      <c r="O61" s="7" t="s">
        <v>139</v>
      </c>
      <c r="P61" s="8">
        <v>44545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3160.39</v>
      </c>
      <c r="W61" s="9">
        <v>1362.76</v>
      </c>
      <c r="X61" s="9">
        <v>1258.47</v>
      </c>
      <c r="Y61" s="7">
        <v>0</v>
      </c>
      <c r="Z61" s="7">
        <v>539.16</v>
      </c>
    </row>
    <row r="62" spans="1:26" x14ac:dyDescent="0.35">
      <c r="A62" s="7" t="s">
        <v>27</v>
      </c>
      <c r="B62" s="7" t="s">
        <v>28</v>
      </c>
      <c r="C62" s="7" t="s">
        <v>50</v>
      </c>
      <c r="D62" s="7" t="s">
        <v>51</v>
      </c>
      <c r="E62" s="7" t="s">
        <v>157</v>
      </c>
      <c r="F62" s="7" t="s">
        <v>158</v>
      </c>
      <c r="G62" s="7">
        <v>2017</v>
      </c>
      <c r="H62" s="7" t="str">
        <f>CONCATENATE("14270345375")</f>
        <v>14270345375</v>
      </c>
      <c r="I62" s="7" t="s">
        <v>30</v>
      </c>
      <c r="J62" s="7" t="s">
        <v>31</v>
      </c>
      <c r="K62" s="7" t="str">
        <f>CONCATENATE("")</f>
        <v/>
      </c>
      <c r="L62" s="7" t="str">
        <f>CONCATENATE("6 6.4 2a")</f>
        <v>6 6.4 2a</v>
      </c>
      <c r="M62" s="7" t="str">
        <f>CONCATENATE("TGNLNZ96D17F704X")</f>
        <v>TGNLNZ96D17F704X</v>
      </c>
      <c r="N62" s="7" t="s">
        <v>159</v>
      </c>
      <c r="O62" s="7" t="s">
        <v>160</v>
      </c>
      <c r="P62" s="8">
        <v>44544</v>
      </c>
      <c r="Q62" s="7" t="s">
        <v>32</v>
      </c>
      <c r="R62" s="7" t="s">
        <v>47</v>
      </c>
      <c r="S62" s="7" t="s">
        <v>34</v>
      </c>
      <c r="T62" s="7"/>
      <c r="U62" s="7" t="s">
        <v>35</v>
      </c>
      <c r="V62" s="9">
        <v>72841.320000000007</v>
      </c>
      <c r="W62" s="9">
        <v>31409.18</v>
      </c>
      <c r="X62" s="9">
        <v>29005.41</v>
      </c>
      <c r="Y62" s="7">
        <v>0</v>
      </c>
      <c r="Z62" s="9">
        <v>12426.73</v>
      </c>
    </row>
    <row r="63" spans="1:26" ht="17.5" x14ac:dyDescent="0.35">
      <c r="A63" s="7" t="s">
        <v>27</v>
      </c>
      <c r="B63" s="7" t="s">
        <v>28</v>
      </c>
      <c r="C63" s="7" t="s">
        <v>50</v>
      </c>
      <c r="D63" s="7" t="s">
        <v>59</v>
      </c>
      <c r="E63" s="7" t="s">
        <v>44</v>
      </c>
      <c r="F63" s="7" t="s">
        <v>82</v>
      </c>
      <c r="G63" s="7">
        <v>2017</v>
      </c>
      <c r="H63" s="7" t="str">
        <f>CONCATENATE("14270346506")</f>
        <v>14270346506</v>
      </c>
      <c r="I63" s="7" t="s">
        <v>30</v>
      </c>
      <c r="J63" s="7" t="s">
        <v>31</v>
      </c>
      <c r="K63" s="7" t="str">
        <f>CONCATENATE("")</f>
        <v/>
      </c>
      <c r="L63" s="7" t="str">
        <f>CONCATENATE("4 4.1 2a")</f>
        <v>4 4.1 2a</v>
      </c>
      <c r="M63" s="7" t="str">
        <f>CONCATENATE("02255700441")</f>
        <v>02255700441</v>
      </c>
      <c r="N63" s="7" t="s">
        <v>103</v>
      </c>
      <c r="O63" s="7" t="s">
        <v>161</v>
      </c>
      <c r="P63" s="8">
        <v>44545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46689.53</v>
      </c>
      <c r="W63" s="9">
        <v>20132.53</v>
      </c>
      <c r="X63" s="9">
        <v>18591.77</v>
      </c>
      <c r="Y63" s="7">
        <v>0</v>
      </c>
      <c r="Z63" s="9">
        <v>7965.23</v>
      </c>
    </row>
    <row r="64" spans="1:26" x14ac:dyDescent="0.35">
      <c r="A64" s="7" t="s">
        <v>27</v>
      </c>
      <c r="B64" s="7" t="s">
        <v>28</v>
      </c>
      <c r="C64" s="7" t="s">
        <v>50</v>
      </c>
      <c r="D64" s="7" t="s">
        <v>55</v>
      </c>
      <c r="E64" s="7" t="s">
        <v>29</v>
      </c>
      <c r="F64" s="7" t="s">
        <v>56</v>
      </c>
      <c r="G64" s="7">
        <v>2017</v>
      </c>
      <c r="H64" s="7" t="str">
        <f>CONCATENATE("14270346860")</f>
        <v>14270346860</v>
      </c>
      <c r="I64" s="7" t="s">
        <v>30</v>
      </c>
      <c r="J64" s="7" t="s">
        <v>31</v>
      </c>
      <c r="K64" s="7" t="str">
        <f>CONCATENATE("")</f>
        <v/>
      </c>
      <c r="L64" s="7" t="str">
        <f>CONCATENATE("4 4.1 2a")</f>
        <v>4 4.1 2a</v>
      </c>
      <c r="M64" s="7" t="str">
        <f>CONCATENATE("RMTJTH95E31D488L")</f>
        <v>RMTJTH95E31D488L</v>
      </c>
      <c r="N64" s="7" t="s">
        <v>162</v>
      </c>
      <c r="O64" s="7" t="s">
        <v>163</v>
      </c>
      <c r="P64" s="8">
        <v>44545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30382.13</v>
      </c>
      <c r="W64" s="9">
        <v>13100.77</v>
      </c>
      <c r="X64" s="9">
        <v>12098.16</v>
      </c>
      <c r="Y64" s="7">
        <v>0</v>
      </c>
      <c r="Z64" s="9">
        <v>5183.2</v>
      </c>
    </row>
    <row r="65" spans="1:26" x14ac:dyDescent="0.35">
      <c r="A65" s="7" t="s">
        <v>27</v>
      </c>
      <c r="B65" s="7" t="s">
        <v>43</v>
      </c>
      <c r="C65" s="7" t="s">
        <v>50</v>
      </c>
      <c r="D65" s="7" t="s">
        <v>59</v>
      </c>
      <c r="E65" s="7" t="s">
        <v>29</v>
      </c>
      <c r="F65" s="7" t="s">
        <v>164</v>
      </c>
      <c r="G65" s="7">
        <v>2020</v>
      </c>
      <c r="H65" s="7" t="str">
        <f>CONCATENATE("04240125999")</f>
        <v>04240125999</v>
      </c>
      <c r="I65" s="7" t="s">
        <v>30</v>
      </c>
      <c r="J65" s="7" t="s">
        <v>31</v>
      </c>
      <c r="K65" s="7" t="str">
        <f>CONCATENATE("")</f>
        <v/>
      </c>
      <c r="L65" s="7" t="str">
        <f>CONCATENATE("11 11.2 4b")</f>
        <v>11 11.2 4b</v>
      </c>
      <c r="M65" s="7" t="str">
        <f>CONCATENATE("MNNGRL65A07F501C")</f>
        <v>MNNGRL65A07F501C</v>
      </c>
      <c r="N65" s="7" t="s">
        <v>165</v>
      </c>
      <c r="O65" s="7" t="s">
        <v>166</v>
      </c>
      <c r="P65" s="8">
        <v>44546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6342.96</v>
      </c>
      <c r="W65" s="9">
        <v>2735.08</v>
      </c>
      <c r="X65" s="9">
        <v>2525.77</v>
      </c>
      <c r="Y65" s="7">
        <v>0</v>
      </c>
      <c r="Z65" s="9">
        <v>1082.1099999999999</v>
      </c>
    </row>
    <row r="66" spans="1:26" x14ac:dyDescent="0.35">
      <c r="A66" s="7" t="s">
        <v>27</v>
      </c>
      <c r="B66" s="7" t="s">
        <v>43</v>
      </c>
      <c r="C66" s="7" t="s">
        <v>50</v>
      </c>
      <c r="D66" s="7" t="s">
        <v>95</v>
      </c>
      <c r="E66" s="7" t="s">
        <v>41</v>
      </c>
      <c r="F66" s="7" t="s">
        <v>140</v>
      </c>
      <c r="G66" s="7">
        <v>2021</v>
      </c>
      <c r="H66" s="7" t="str">
        <f>CONCATENATE("14240131095")</f>
        <v>14240131095</v>
      </c>
      <c r="I66" s="7" t="s">
        <v>30</v>
      </c>
      <c r="J66" s="7" t="s">
        <v>31</v>
      </c>
      <c r="K66" s="7" t="str">
        <f>CONCATENATE("")</f>
        <v/>
      </c>
      <c r="L66" s="7" t="str">
        <f>CONCATENATE("14 14.1 3a")</f>
        <v>14 14.1 3a</v>
      </c>
      <c r="M66" s="7" t="str">
        <f>CONCATENATE("MCRMSM74P20L366A")</f>
        <v>MCRMSM74P20L366A</v>
      </c>
      <c r="N66" s="7" t="s">
        <v>167</v>
      </c>
      <c r="O66" s="7" t="s">
        <v>168</v>
      </c>
      <c r="P66" s="8">
        <v>44543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11388.6</v>
      </c>
      <c r="W66" s="9">
        <v>4910.76</v>
      </c>
      <c r="X66" s="9">
        <v>4534.9399999999996</v>
      </c>
      <c r="Y66" s="7">
        <v>0</v>
      </c>
      <c r="Z66" s="9">
        <v>1942.9</v>
      </c>
    </row>
    <row r="67" spans="1:26" x14ac:dyDescent="0.35">
      <c r="A67" s="7" t="s">
        <v>27</v>
      </c>
      <c r="B67" s="7" t="s">
        <v>43</v>
      </c>
      <c r="C67" s="7" t="s">
        <v>50</v>
      </c>
      <c r="D67" s="7" t="s">
        <v>95</v>
      </c>
      <c r="E67" s="7" t="s">
        <v>29</v>
      </c>
      <c r="F67" s="7" t="s">
        <v>169</v>
      </c>
      <c r="G67" s="7">
        <v>2021</v>
      </c>
      <c r="H67" s="7" t="str">
        <f>CONCATENATE("14241240655")</f>
        <v>14241240655</v>
      </c>
      <c r="I67" s="7" t="s">
        <v>30</v>
      </c>
      <c r="J67" s="7" t="s">
        <v>31</v>
      </c>
      <c r="K67" s="7" t="str">
        <f>CONCATENATE("")</f>
        <v/>
      </c>
      <c r="L67" s="7" t="str">
        <f>CONCATENATE("14 14.1 3a")</f>
        <v>14 14.1 3a</v>
      </c>
      <c r="M67" s="7" t="str">
        <f>CONCATENATE("02050730437")</f>
        <v>02050730437</v>
      </c>
      <c r="N67" s="7" t="s">
        <v>170</v>
      </c>
      <c r="O67" s="7" t="s">
        <v>168</v>
      </c>
      <c r="P67" s="8">
        <v>44543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11388.6</v>
      </c>
      <c r="W67" s="9">
        <v>4910.76</v>
      </c>
      <c r="X67" s="9">
        <v>4534.9399999999996</v>
      </c>
      <c r="Y67" s="7">
        <v>0</v>
      </c>
      <c r="Z67" s="9">
        <v>1942.9</v>
      </c>
    </row>
    <row r="68" spans="1:26" x14ac:dyDescent="0.35">
      <c r="A68" s="7" t="s">
        <v>27</v>
      </c>
      <c r="B68" s="7" t="s">
        <v>43</v>
      </c>
      <c r="C68" s="7" t="s">
        <v>50</v>
      </c>
      <c r="D68" s="7" t="s">
        <v>95</v>
      </c>
      <c r="E68" s="7" t="s">
        <v>29</v>
      </c>
      <c r="F68" s="7" t="s">
        <v>171</v>
      </c>
      <c r="G68" s="7">
        <v>2021</v>
      </c>
      <c r="H68" s="7" t="str">
        <f>CONCATENATE("14210996956")</f>
        <v>14210996956</v>
      </c>
      <c r="I68" s="7" t="s">
        <v>30</v>
      </c>
      <c r="J68" s="7" t="s">
        <v>31</v>
      </c>
      <c r="K68" s="7" t="str">
        <f>CONCATENATE("")</f>
        <v/>
      </c>
      <c r="L68" s="7" t="str">
        <f>CONCATENATE("12 12.1 4a")</f>
        <v>12 12.1 4a</v>
      </c>
      <c r="M68" s="7" t="str">
        <f>CONCATENATE("00389590431")</f>
        <v>00389590431</v>
      </c>
      <c r="N68" s="7" t="s">
        <v>172</v>
      </c>
      <c r="O68" s="7" t="s">
        <v>173</v>
      </c>
      <c r="P68" s="8">
        <v>44544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7">
        <v>885.34</v>
      </c>
      <c r="W68" s="7">
        <v>381.76</v>
      </c>
      <c r="X68" s="7">
        <v>352.54</v>
      </c>
      <c r="Y68" s="7">
        <v>0</v>
      </c>
      <c r="Z68" s="7">
        <v>151.04</v>
      </c>
    </row>
    <row r="69" spans="1:26" x14ac:dyDescent="0.35">
      <c r="A69" s="7" t="s">
        <v>27</v>
      </c>
      <c r="B69" s="7" t="s">
        <v>43</v>
      </c>
      <c r="C69" s="7" t="s">
        <v>50</v>
      </c>
      <c r="D69" s="7" t="s">
        <v>95</v>
      </c>
      <c r="E69" s="7" t="s">
        <v>41</v>
      </c>
      <c r="F69" s="7" t="s">
        <v>144</v>
      </c>
      <c r="G69" s="7">
        <v>2021</v>
      </c>
      <c r="H69" s="7" t="str">
        <f>CONCATENATE("14210367760")</f>
        <v>14210367760</v>
      </c>
      <c r="I69" s="7" t="s">
        <v>30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CONCATENATE("LPSVLM98A15Z155Z")</f>
        <v>LPSVLM98A15Z155Z</v>
      </c>
      <c r="N69" s="7" t="s">
        <v>174</v>
      </c>
      <c r="O69" s="7" t="s">
        <v>175</v>
      </c>
      <c r="P69" s="8">
        <v>44546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6030.64</v>
      </c>
      <c r="W69" s="9">
        <v>2600.41</v>
      </c>
      <c r="X69" s="9">
        <v>2401.4</v>
      </c>
      <c r="Y69" s="7">
        <v>0</v>
      </c>
      <c r="Z69" s="9">
        <v>1028.83</v>
      </c>
    </row>
    <row r="70" spans="1:26" x14ac:dyDescent="0.35">
      <c r="A70" s="7" t="s">
        <v>27</v>
      </c>
      <c r="B70" s="7" t="s">
        <v>43</v>
      </c>
      <c r="C70" s="7" t="s">
        <v>50</v>
      </c>
      <c r="D70" s="7" t="s">
        <v>55</v>
      </c>
      <c r="E70" s="7" t="s">
        <v>38</v>
      </c>
      <c r="F70" s="7" t="s">
        <v>176</v>
      </c>
      <c r="G70" s="7">
        <v>2021</v>
      </c>
      <c r="H70" s="7" t="str">
        <f>CONCATENATE("14210639234")</f>
        <v>14210639234</v>
      </c>
      <c r="I70" s="7" t="s">
        <v>30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CONCATENATE("SNCVTR60L02L078O")</f>
        <v>SNCVTR60L02L078O</v>
      </c>
      <c r="N70" s="7" t="s">
        <v>177</v>
      </c>
      <c r="O70" s="7" t="s">
        <v>175</v>
      </c>
      <c r="P70" s="8">
        <v>44546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3110.72</v>
      </c>
      <c r="W70" s="9">
        <v>1341.34</v>
      </c>
      <c r="X70" s="9">
        <v>1238.69</v>
      </c>
      <c r="Y70" s="7">
        <v>0</v>
      </c>
      <c r="Z70" s="7">
        <v>530.69000000000005</v>
      </c>
    </row>
    <row r="71" spans="1:26" x14ac:dyDescent="0.35">
      <c r="A71" s="7" t="s">
        <v>27</v>
      </c>
      <c r="B71" s="7" t="s">
        <v>43</v>
      </c>
      <c r="C71" s="7" t="s">
        <v>50</v>
      </c>
      <c r="D71" s="7" t="s">
        <v>55</v>
      </c>
      <c r="E71" s="7" t="s">
        <v>29</v>
      </c>
      <c r="F71" s="7" t="s">
        <v>91</v>
      </c>
      <c r="G71" s="7">
        <v>2021</v>
      </c>
      <c r="H71" s="7" t="str">
        <f>CONCATENATE("14211016465")</f>
        <v>14211016465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CONCATENATE("91019730414")</f>
        <v>91019730414</v>
      </c>
      <c r="N71" s="7" t="s">
        <v>92</v>
      </c>
      <c r="O71" s="7" t="s">
        <v>175</v>
      </c>
      <c r="P71" s="8">
        <v>44546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7">
        <v>934.08</v>
      </c>
      <c r="W71" s="7">
        <v>402.78</v>
      </c>
      <c r="X71" s="7">
        <v>371.95</v>
      </c>
      <c r="Y71" s="7">
        <v>0</v>
      </c>
      <c r="Z71" s="7">
        <v>159.35</v>
      </c>
    </row>
    <row r="72" spans="1:26" x14ac:dyDescent="0.35">
      <c r="A72" s="7" t="s">
        <v>27</v>
      </c>
      <c r="B72" s="7" t="s">
        <v>43</v>
      </c>
      <c r="C72" s="7" t="s">
        <v>50</v>
      </c>
      <c r="D72" s="7" t="s">
        <v>55</v>
      </c>
      <c r="E72" s="7" t="s">
        <v>38</v>
      </c>
      <c r="F72" s="7" t="s">
        <v>178</v>
      </c>
      <c r="G72" s="7">
        <v>2021</v>
      </c>
      <c r="H72" s="7" t="str">
        <f>CONCATENATE("14210693686")</f>
        <v>14210693686</v>
      </c>
      <c r="I72" s="7" t="s">
        <v>30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CONCATENATE("CPCLEI32C02D749N")</f>
        <v>CPCLEI32C02D749N</v>
      </c>
      <c r="N72" s="7" t="s">
        <v>179</v>
      </c>
      <c r="O72" s="7" t="s">
        <v>175</v>
      </c>
      <c r="P72" s="8">
        <v>44546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914.7</v>
      </c>
      <c r="W72" s="7">
        <v>394.42</v>
      </c>
      <c r="X72" s="7">
        <v>364.23</v>
      </c>
      <c r="Y72" s="7">
        <v>0</v>
      </c>
      <c r="Z72" s="7">
        <v>156.05000000000001</v>
      </c>
    </row>
    <row r="73" spans="1:26" x14ac:dyDescent="0.35">
      <c r="A73" s="7" t="s">
        <v>27</v>
      </c>
      <c r="B73" s="7" t="s">
        <v>43</v>
      </c>
      <c r="C73" s="7" t="s">
        <v>50</v>
      </c>
      <c r="D73" s="7" t="s">
        <v>55</v>
      </c>
      <c r="E73" s="7" t="s">
        <v>29</v>
      </c>
      <c r="F73" s="7" t="s">
        <v>180</v>
      </c>
      <c r="G73" s="7">
        <v>2021</v>
      </c>
      <c r="H73" s="7" t="str">
        <f>CONCATENATE("14210026150")</f>
        <v>14210026150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CONCATENATE("01388180414")</f>
        <v>01388180414</v>
      </c>
      <c r="N73" s="7" t="s">
        <v>181</v>
      </c>
      <c r="O73" s="7" t="s">
        <v>175</v>
      </c>
      <c r="P73" s="8">
        <v>44546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2612.7800000000002</v>
      </c>
      <c r="W73" s="9">
        <v>1126.6300000000001</v>
      </c>
      <c r="X73" s="9">
        <v>1040.4100000000001</v>
      </c>
      <c r="Y73" s="7">
        <v>0</v>
      </c>
      <c r="Z73" s="7">
        <v>445.74</v>
      </c>
    </row>
    <row r="74" spans="1:26" x14ac:dyDescent="0.35">
      <c r="A74" s="7" t="s">
        <v>27</v>
      </c>
      <c r="B74" s="7" t="s">
        <v>43</v>
      </c>
      <c r="C74" s="7" t="s">
        <v>50</v>
      </c>
      <c r="D74" s="7" t="s">
        <v>55</v>
      </c>
      <c r="E74" s="7" t="s">
        <v>38</v>
      </c>
      <c r="F74" s="7" t="s">
        <v>182</v>
      </c>
      <c r="G74" s="7">
        <v>2021</v>
      </c>
      <c r="H74" s="7" t="str">
        <f>CONCATENATE("14210550514")</f>
        <v>14210550514</v>
      </c>
      <c r="I74" s="7" t="s">
        <v>30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CONCATENATE("RGNRCR68R18A740Q")</f>
        <v>RGNRCR68R18A740Q</v>
      </c>
      <c r="N74" s="7" t="s">
        <v>183</v>
      </c>
      <c r="O74" s="7" t="s">
        <v>175</v>
      </c>
      <c r="P74" s="8">
        <v>44546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7">
        <v>717.64</v>
      </c>
      <c r="W74" s="7">
        <v>309.45</v>
      </c>
      <c r="X74" s="7">
        <v>285.76</v>
      </c>
      <c r="Y74" s="7">
        <v>0</v>
      </c>
      <c r="Z74" s="7">
        <v>122.43</v>
      </c>
    </row>
    <row r="75" spans="1:26" x14ac:dyDescent="0.35">
      <c r="A75" s="7" t="s">
        <v>27</v>
      </c>
      <c r="B75" s="7" t="s">
        <v>43</v>
      </c>
      <c r="C75" s="7" t="s">
        <v>50</v>
      </c>
      <c r="D75" s="7" t="s">
        <v>95</v>
      </c>
      <c r="E75" s="7" t="s">
        <v>36</v>
      </c>
      <c r="F75" s="7" t="s">
        <v>184</v>
      </c>
      <c r="G75" s="7">
        <v>2021</v>
      </c>
      <c r="H75" s="7" t="str">
        <f>CONCATENATE("14210356946")</f>
        <v>14210356946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CONCATENATE("ZCCCLL70R30H501S")</f>
        <v>ZCCCLL70R30H501S</v>
      </c>
      <c r="N75" s="7" t="s">
        <v>185</v>
      </c>
      <c r="O75" s="7" t="s">
        <v>175</v>
      </c>
      <c r="P75" s="8">
        <v>44546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3004.76</v>
      </c>
      <c r="W75" s="9">
        <v>1295.6500000000001</v>
      </c>
      <c r="X75" s="9">
        <v>1196.5</v>
      </c>
      <c r="Y75" s="7">
        <v>0</v>
      </c>
      <c r="Z75" s="7">
        <v>512.61</v>
      </c>
    </row>
    <row r="76" spans="1:26" x14ac:dyDescent="0.35">
      <c r="A76" s="7" t="s">
        <v>27</v>
      </c>
      <c r="B76" s="7" t="s">
        <v>43</v>
      </c>
      <c r="C76" s="7" t="s">
        <v>50</v>
      </c>
      <c r="D76" s="7" t="s">
        <v>95</v>
      </c>
      <c r="E76" s="7" t="s">
        <v>41</v>
      </c>
      <c r="F76" s="7" t="s">
        <v>144</v>
      </c>
      <c r="G76" s="7">
        <v>2021</v>
      </c>
      <c r="H76" s="7" t="str">
        <f>CONCATENATE("14211171732")</f>
        <v>14211171732</v>
      </c>
      <c r="I76" s="7" t="s">
        <v>30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CONCATENATE("BNMSLV85T49H501B")</f>
        <v>BNMSLV85T49H501B</v>
      </c>
      <c r="N76" s="7" t="s">
        <v>186</v>
      </c>
      <c r="O76" s="7" t="s">
        <v>175</v>
      </c>
      <c r="P76" s="8">
        <v>44546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2995.14</v>
      </c>
      <c r="W76" s="9">
        <v>1291.5</v>
      </c>
      <c r="X76" s="9">
        <v>1192.6600000000001</v>
      </c>
      <c r="Y76" s="7">
        <v>0</v>
      </c>
      <c r="Z76" s="7">
        <v>510.98</v>
      </c>
    </row>
    <row r="77" spans="1:26" x14ac:dyDescent="0.35">
      <c r="A77" s="7" t="s">
        <v>27</v>
      </c>
      <c r="B77" s="7" t="s">
        <v>43</v>
      </c>
      <c r="C77" s="7" t="s">
        <v>50</v>
      </c>
      <c r="D77" s="7" t="s">
        <v>51</v>
      </c>
      <c r="E77" s="7" t="s">
        <v>38</v>
      </c>
      <c r="F77" s="7" t="s">
        <v>187</v>
      </c>
      <c r="G77" s="7">
        <v>2021</v>
      </c>
      <c r="H77" s="7" t="str">
        <f>CONCATENATE("14210339082")</f>
        <v>14210339082</v>
      </c>
      <c r="I77" s="7" t="s">
        <v>30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CONCATENATE("PSTNRC45S59D451X")</f>
        <v>PSTNRC45S59D451X</v>
      </c>
      <c r="N77" s="7" t="s">
        <v>188</v>
      </c>
      <c r="O77" s="7" t="s">
        <v>175</v>
      </c>
      <c r="P77" s="8">
        <v>44546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7574.3</v>
      </c>
      <c r="W77" s="9">
        <v>3266.04</v>
      </c>
      <c r="X77" s="9">
        <v>3016.09</v>
      </c>
      <c r="Y77" s="7">
        <v>0</v>
      </c>
      <c r="Z77" s="9">
        <v>1292.17</v>
      </c>
    </row>
    <row r="78" spans="1:26" x14ac:dyDescent="0.35">
      <c r="A78" s="7" t="s">
        <v>27</v>
      </c>
      <c r="B78" s="7" t="s">
        <v>43</v>
      </c>
      <c r="C78" s="7" t="s">
        <v>50</v>
      </c>
      <c r="D78" s="7" t="s">
        <v>55</v>
      </c>
      <c r="E78" s="7" t="s">
        <v>38</v>
      </c>
      <c r="F78" s="7" t="s">
        <v>189</v>
      </c>
      <c r="G78" s="7">
        <v>2020</v>
      </c>
      <c r="H78" s="7" t="str">
        <f>CONCATENATE("04211279395")</f>
        <v>04211279395</v>
      </c>
      <c r="I78" s="7" t="s">
        <v>30</v>
      </c>
      <c r="J78" s="7" t="s">
        <v>31</v>
      </c>
      <c r="K78" s="7" t="str">
        <f>CONCATENATE("")</f>
        <v/>
      </c>
      <c r="L78" s="7" t="str">
        <f>CONCATENATE("13 13.1 4a")</f>
        <v>13 13.1 4a</v>
      </c>
      <c r="M78" s="7" t="str">
        <f>CONCATENATE("VRDSVT58H15B287I")</f>
        <v>VRDSVT58H15B287I</v>
      </c>
      <c r="N78" s="7" t="s">
        <v>190</v>
      </c>
      <c r="O78" s="7" t="s">
        <v>175</v>
      </c>
      <c r="P78" s="8">
        <v>44546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1315.28</v>
      </c>
      <c r="W78" s="7">
        <v>567.15</v>
      </c>
      <c r="X78" s="7">
        <v>523.74</v>
      </c>
      <c r="Y78" s="7">
        <v>0</v>
      </c>
      <c r="Z78" s="7">
        <v>224.39</v>
      </c>
    </row>
    <row r="79" spans="1:26" ht="17.5" x14ac:dyDescent="0.35">
      <c r="A79" s="7" t="s">
        <v>27</v>
      </c>
      <c r="B79" s="7" t="s">
        <v>43</v>
      </c>
      <c r="C79" s="7" t="s">
        <v>50</v>
      </c>
      <c r="D79" s="7" t="s">
        <v>55</v>
      </c>
      <c r="E79" s="7" t="s">
        <v>36</v>
      </c>
      <c r="F79" s="7" t="s">
        <v>191</v>
      </c>
      <c r="G79" s="7">
        <v>2020</v>
      </c>
      <c r="H79" s="7" t="str">
        <f>CONCATENATE("04211279346")</f>
        <v>04211279346</v>
      </c>
      <c r="I79" s="7" t="s">
        <v>30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CONCATENATE("01802180404")</f>
        <v>01802180404</v>
      </c>
      <c r="N79" s="7" t="s">
        <v>192</v>
      </c>
      <c r="O79" s="7" t="s">
        <v>175</v>
      </c>
      <c r="P79" s="8">
        <v>44546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7472.95</v>
      </c>
      <c r="W79" s="9">
        <v>3222.34</v>
      </c>
      <c r="X79" s="9">
        <v>2975.73</v>
      </c>
      <c r="Y79" s="7">
        <v>0</v>
      </c>
      <c r="Z79" s="9">
        <v>1274.8800000000001</v>
      </c>
    </row>
    <row r="80" spans="1:26" x14ac:dyDescent="0.35">
      <c r="A80" s="7" t="s">
        <v>27</v>
      </c>
      <c r="B80" s="7" t="s">
        <v>43</v>
      </c>
      <c r="C80" s="7" t="s">
        <v>50</v>
      </c>
      <c r="D80" s="7" t="s">
        <v>95</v>
      </c>
      <c r="E80" s="7" t="s">
        <v>42</v>
      </c>
      <c r="F80" s="7" t="s">
        <v>42</v>
      </c>
      <c r="G80" s="7">
        <v>2021</v>
      </c>
      <c r="H80" s="7" t="str">
        <f>CONCATENATE("14240466830")</f>
        <v>14240466830</v>
      </c>
      <c r="I80" s="7" t="s">
        <v>30</v>
      </c>
      <c r="J80" s="7" t="s">
        <v>31</v>
      </c>
      <c r="K80" s="7" t="str">
        <f>CONCATENATE("")</f>
        <v/>
      </c>
      <c r="L80" s="7" t="str">
        <f>CONCATENATE("11 11.2 4b")</f>
        <v>11 11.2 4b</v>
      </c>
      <c r="M80" s="7" t="str">
        <f>CONCATENATE("SCLRND93L22D024E")</f>
        <v>SCLRND93L22D024E</v>
      </c>
      <c r="N80" s="7" t="s">
        <v>193</v>
      </c>
      <c r="O80" s="7" t="s">
        <v>139</v>
      </c>
      <c r="P80" s="8">
        <v>44545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22822.73</v>
      </c>
      <c r="W80" s="9">
        <v>9841.16</v>
      </c>
      <c r="X80" s="9">
        <v>9088.01</v>
      </c>
      <c r="Y80" s="7">
        <v>0</v>
      </c>
      <c r="Z80" s="9">
        <v>3893.56</v>
      </c>
    </row>
    <row r="81" spans="1:26" x14ac:dyDescent="0.35">
      <c r="A81" s="7" t="s">
        <v>27</v>
      </c>
      <c r="B81" s="7" t="s">
        <v>43</v>
      </c>
      <c r="C81" s="7" t="s">
        <v>50</v>
      </c>
      <c r="D81" s="7" t="s">
        <v>95</v>
      </c>
      <c r="E81" s="7" t="s">
        <v>29</v>
      </c>
      <c r="F81" s="7" t="s">
        <v>194</v>
      </c>
      <c r="G81" s="7">
        <v>2021</v>
      </c>
      <c r="H81" s="7" t="str">
        <f>CONCATENATE("14240333295")</f>
        <v>14240333295</v>
      </c>
      <c r="I81" s="7" t="s">
        <v>30</v>
      </c>
      <c r="J81" s="7" t="s">
        <v>31</v>
      </c>
      <c r="K81" s="7" t="str">
        <f>CONCATENATE("")</f>
        <v/>
      </c>
      <c r="L81" s="7" t="str">
        <f>CONCATENATE("11 11.2 4b")</f>
        <v>11 11.2 4b</v>
      </c>
      <c r="M81" s="7" t="str">
        <f>CONCATENATE("ZGGPLB66S30I156Z")</f>
        <v>ZGGPLB66S30I156Z</v>
      </c>
      <c r="N81" s="7" t="s">
        <v>195</v>
      </c>
      <c r="O81" s="7" t="s">
        <v>139</v>
      </c>
      <c r="P81" s="8">
        <v>44545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1652.63</v>
      </c>
      <c r="W81" s="7">
        <v>712.61</v>
      </c>
      <c r="X81" s="7">
        <v>658.08</v>
      </c>
      <c r="Y81" s="7">
        <v>0</v>
      </c>
      <c r="Z81" s="7">
        <v>281.94</v>
      </c>
    </row>
    <row r="82" spans="1:26" x14ac:dyDescent="0.35">
      <c r="A82" s="7" t="s">
        <v>27</v>
      </c>
      <c r="B82" s="7" t="s">
        <v>43</v>
      </c>
      <c r="C82" s="7" t="s">
        <v>50</v>
      </c>
      <c r="D82" s="7" t="s">
        <v>95</v>
      </c>
      <c r="E82" s="7" t="s">
        <v>41</v>
      </c>
      <c r="F82" s="7" t="s">
        <v>142</v>
      </c>
      <c r="G82" s="7">
        <v>2021</v>
      </c>
      <c r="H82" s="7" t="str">
        <f>CONCATENATE("14241369751")</f>
        <v>14241369751</v>
      </c>
      <c r="I82" s="7" t="s">
        <v>30</v>
      </c>
      <c r="J82" s="7" t="s">
        <v>31</v>
      </c>
      <c r="K82" s="7" t="str">
        <f>CONCATENATE("")</f>
        <v/>
      </c>
      <c r="L82" s="7" t="str">
        <f>CONCATENATE("11 11.2 4b")</f>
        <v>11 11.2 4b</v>
      </c>
      <c r="M82" s="7" t="str">
        <f>CONCATENATE("01914370430")</f>
        <v>01914370430</v>
      </c>
      <c r="N82" s="7" t="s">
        <v>96</v>
      </c>
      <c r="O82" s="7" t="s">
        <v>139</v>
      </c>
      <c r="P82" s="8">
        <v>44545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2608.88</v>
      </c>
      <c r="W82" s="9">
        <v>1124.95</v>
      </c>
      <c r="X82" s="9">
        <v>1038.8599999999999</v>
      </c>
      <c r="Y82" s="7">
        <v>0</v>
      </c>
      <c r="Z82" s="7">
        <v>445.07</v>
      </c>
    </row>
    <row r="83" spans="1:26" x14ac:dyDescent="0.35">
      <c r="A83" s="7" t="s">
        <v>27</v>
      </c>
      <c r="B83" s="7" t="s">
        <v>43</v>
      </c>
      <c r="C83" s="7" t="s">
        <v>50</v>
      </c>
      <c r="D83" s="7" t="s">
        <v>95</v>
      </c>
      <c r="E83" s="7" t="s">
        <v>41</v>
      </c>
      <c r="F83" s="7" t="s">
        <v>149</v>
      </c>
      <c r="G83" s="7">
        <v>2021</v>
      </c>
      <c r="H83" s="7" t="str">
        <f>CONCATENATE("14240552803")</f>
        <v>14240552803</v>
      </c>
      <c r="I83" s="7" t="s">
        <v>30</v>
      </c>
      <c r="J83" s="7" t="s">
        <v>31</v>
      </c>
      <c r="K83" s="7" t="str">
        <f>CONCATENATE("")</f>
        <v/>
      </c>
      <c r="L83" s="7" t="str">
        <f>CONCATENATE("11 11.2 4b")</f>
        <v>11 11.2 4b</v>
      </c>
      <c r="M83" s="7" t="str">
        <f>CONCATENATE("01866910431")</f>
        <v>01866910431</v>
      </c>
      <c r="N83" s="7" t="s">
        <v>196</v>
      </c>
      <c r="O83" s="7" t="s">
        <v>139</v>
      </c>
      <c r="P83" s="8">
        <v>44545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4285.92</v>
      </c>
      <c r="W83" s="9">
        <v>1848.09</v>
      </c>
      <c r="X83" s="9">
        <v>1706.65</v>
      </c>
      <c r="Y83" s="7">
        <v>0</v>
      </c>
      <c r="Z83" s="7">
        <v>731.18</v>
      </c>
    </row>
    <row r="84" spans="1:26" x14ac:dyDescent="0.35">
      <c r="A84" s="7" t="s">
        <v>27</v>
      </c>
      <c r="B84" s="7" t="s">
        <v>43</v>
      </c>
      <c r="C84" s="7" t="s">
        <v>50</v>
      </c>
      <c r="D84" s="7" t="s">
        <v>95</v>
      </c>
      <c r="E84" s="7" t="s">
        <v>29</v>
      </c>
      <c r="F84" s="7" t="s">
        <v>147</v>
      </c>
      <c r="G84" s="7">
        <v>2021</v>
      </c>
      <c r="H84" s="7" t="str">
        <f>CONCATENATE("14241194811")</f>
        <v>14241194811</v>
      </c>
      <c r="I84" s="7" t="s">
        <v>30</v>
      </c>
      <c r="J84" s="7" t="s">
        <v>31</v>
      </c>
      <c r="K84" s="7" t="str">
        <f>CONCATENATE("")</f>
        <v/>
      </c>
      <c r="L84" s="7" t="str">
        <f>CONCATENATE("11 11.2 4b")</f>
        <v>11 11.2 4b</v>
      </c>
      <c r="M84" s="7" t="str">
        <f>CONCATENATE("NGLMRK78A11B474J")</f>
        <v>NGLMRK78A11B474J</v>
      </c>
      <c r="N84" s="7" t="s">
        <v>197</v>
      </c>
      <c r="O84" s="7" t="s">
        <v>139</v>
      </c>
      <c r="P84" s="8">
        <v>44545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1795.48</v>
      </c>
      <c r="W84" s="7">
        <v>774.21</v>
      </c>
      <c r="X84" s="7">
        <v>714.96</v>
      </c>
      <c r="Y84" s="7">
        <v>0</v>
      </c>
      <c r="Z84" s="7">
        <v>306.31</v>
      </c>
    </row>
    <row r="85" spans="1:26" x14ac:dyDescent="0.35">
      <c r="A85" s="7" t="s">
        <v>27</v>
      </c>
      <c r="B85" s="7" t="s">
        <v>43</v>
      </c>
      <c r="C85" s="7" t="s">
        <v>50</v>
      </c>
      <c r="D85" s="7" t="s">
        <v>95</v>
      </c>
      <c r="E85" s="7" t="s">
        <v>29</v>
      </c>
      <c r="F85" s="7" t="s">
        <v>147</v>
      </c>
      <c r="G85" s="7">
        <v>2021</v>
      </c>
      <c r="H85" s="7" t="str">
        <f>CONCATENATE("14241193375")</f>
        <v>14241193375</v>
      </c>
      <c r="I85" s="7" t="s">
        <v>30</v>
      </c>
      <c r="J85" s="7" t="s">
        <v>31</v>
      </c>
      <c r="K85" s="7" t="str">
        <f>CONCATENATE("")</f>
        <v/>
      </c>
      <c r="L85" s="7" t="str">
        <f>CONCATENATE("11 11.2 4b")</f>
        <v>11 11.2 4b</v>
      </c>
      <c r="M85" s="7" t="str">
        <f>CONCATENATE("NGLMRK78A11B474J")</f>
        <v>NGLMRK78A11B474J</v>
      </c>
      <c r="N85" s="7" t="s">
        <v>197</v>
      </c>
      <c r="O85" s="7" t="s">
        <v>139</v>
      </c>
      <c r="P85" s="8">
        <v>44545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4598.1400000000003</v>
      </c>
      <c r="W85" s="9">
        <v>1982.72</v>
      </c>
      <c r="X85" s="9">
        <v>1830.98</v>
      </c>
      <c r="Y85" s="7">
        <v>0</v>
      </c>
      <c r="Z85" s="7">
        <v>784.44</v>
      </c>
    </row>
    <row r="86" spans="1:26" x14ac:dyDescent="0.35">
      <c r="A86" s="7" t="s">
        <v>27</v>
      </c>
      <c r="B86" s="7" t="s">
        <v>43</v>
      </c>
      <c r="C86" s="7" t="s">
        <v>50</v>
      </c>
      <c r="D86" s="7" t="s">
        <v>95</v>
      </c>
      <c r="E86" s="7" t="s">
        <v>36</v>
      </c>
      <c r="F86" s="7" t="s">
        <v>184</v>
      </c>
      <c r="G86" s="7">
        <v>2021</v>
      </c>
      <c r="H86" s="7" t="str">
        <f>CONCATENATE("14240447046")</f>
        <v>14240447046</v>
      </c>
      <c r="I86" s="7" t="s">
        <v>30</v>
      </c>
      <c r="J86" s="7" t="s">
        <v>31</v>
      </c>
      <c r="K86" s="7" t="str">
        <f>CONCATENATE("")</f>
        <v/>
      </c>
      <c r="L86" s="7" t="str">
        <f>CONCATENATE("11 11.2 4b")</f>
        <v>11 11.2 4b</v>
      </c>
      <c r="M86" s="7" t="str">
        <f>CONCATENATE("CNGGST60B24A271E")</f>
        <v>CNGGST60B24A271E</v>
      </c>
      <c r="N86" s="7" t="s">
        <v>198</v>
      </c>
      <c r="O86" s="7" t="s">
        <v>139</v>
      </c>
      <c r="P86" s="8">
        <v>44545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7177.45</v>
      </c>
      <c r="W86" s="9">
        <v>3094.92</v>
      </c>
      <c r="X86" s="9">
        <v>2858.06</v>
      </c>
      <c r="Y86" s="7">
        <v>0</v>
      </c>
      <c r="Z86" s="9">
        <v>1224.47</v>
      </c>
    </row>
    <row r="87" spans="1:26" x14ac:dyDescent="0.35">
      <c r="A87" s="7" t="s">
        <v>27</v>
      </c>
      <c r="B87" s="7" t="s">
        <v>43</v>
      </c>
      <c r="C87" s="7" t="s">
        <v>50</v>
      </c>
      <c r="D87" s="7" t="s">
        <v>95</v>
      </c>
      <c r="E87" s="7" t="s">
        <v>41</v>
      </c>
      <c r="F87" s="7" t="s">
        <v>142</v>
      </c>
      <c r="G87" s="7">
        <v>2021</v>
      </c>
      <c r="H87" s="7" t="str">
        <f>CONCATENATE("14241219550")</f>
        <v>14241219550</v>
      </c>
      <c r="I87" s="7" t="s">
        <v>30</v>
      </c>
      <c r="J87" s="7" t="s">
        <v>31</v>
      </c>
      <c r="K87" s="7" t="str">
        <f>CONCATENATE("")</f>
        <v/>
      </c>
      <c r="L87" s="7" t="str">
        <f>CONCATENATE("11 11.2 4b")</f>
        <v>11 11.2 4b</v>
      </c>
      <c r="M87" s="7" t="str">
        <f>CONCATENATE("PLTJCP99T09I156U")</f>
        <v>PLTJCP99T09I156U</v>
      </c>
      <c r="N87" s="7" t="s">
        <v>199</v>
      </c>
      <c r="O87" s="7" t="s">
        <v>139</v>
      </c>
      <c r="P87" s="8">
        <v>44545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2888.89</v>
      </c>
      <c r="W87" s="9">
        <v>1245.69</v>
      </c>
      <c r="X87" s="9">
        <v>1150.3599999999999</v>
      </c>
      <c r="Y87" s="7">
        <v>0</v>
      </c>
      <c r="Z87" s="7">
        <v>492.84</v>
      </c>
    </row>
    <row r="88" spans="1:26" x14ac:dyDescent="0.35">
      <c r="A88" s="7" t="s">
        <v>27</v>
      </c>
      <c r="B88" s="7" t="s">
        <v>43</v>
      </c>
      <c r="C88" s="7" t="s">
        <v>50</v>
      </c>
      <c r="D88" s="7" t="s">
        <v>95</v>
      </c>
      <c r="E88" s="7" t="s">
        <v>41</v>
      </c>
      <c r="F88" s="7" t="s">
        <v>142</v>
      </c>
      <c r="G88" s="7">
        <v>2021</v>
      </c>
      <c r="H88" s="7" t="str">
        <f>CONCATENATE("14241378547")</f>
        <v>14241378547</v>
      </c>
      <c r="I88" s="7" t="s">
        <v>30</v>
      </c>
      <c r="J88" s="7" t="s">
        <v>31</v>
      </c>
      <c r="K88" s="7" t="str">
        <f>CONCATENATE("")</f>
        <v/>
      </c>
      <c r="L88" s="7" t="str">
        <f>CONCATENATE("11 11.2 4b")</f>
        <v>11 11.2 4b</v>
      </c>
      <c r="M88" s="7" t="str">
        <f>CONCATENATE("TSTLCU77B06B474R")</f>
        <v>TSTLCU77B06B474R</v>
      </c>
      <c r="N88" s="7" t="s">
        <v>200</v>
      </c>
      <c r="O88" s="7" t="s">
        <v>139</v>
      </c>
      <c r="P88" s="8">
        <v>44545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10766.41</v>
      </c>
      <c r="W88" s="9">
        <v>4642.4799999999996</v>
      </c>
      <c r="X88" s="9">
        <v>4287.18</v>
      </c>
      <c r="Y88" s="7">
        <v>0</v>
      </c>
      <c r="Z88" s="9">
        <v>1836.75</v>
      </c>
    </row>
    <row r="89" spans="1:26" x14ac:dyDescent="0.35">
      <c r="A89" s="7" t="s">
        <v>27</v>
      </c>
      <c r="B89" s="7" t="s">
        <v>43</v>
      </c>
      <c r="C89" s="7" t="s">
        <v>50</v>
      </c>
      <c r="D89" s="7" t="s">
        <v>95</v>
      </c>
      <c r="E89" s="7" t="s">
        <v>29</v>
      </c>
      <c r="F89" s="7" t="s">
        <v>147</v>
      </c>
      <c r="G89" s="7">
        <v>2021</v>
      </c>
      <c r="H89" s="7" t="str">
        <f>CONCATENATE("14240206301")</f>
        <v>14240206301</v>
      </c>
      <c r="I89" s="7" t="s">
        <v>30</v>
      </c>
      <c r="J89" s="7" t="s">
        <v>31</v>
      </c>
      <c r="K89" s="7" t="str">
        <f>CONCATENATE("")</f>
        <v/>
      </c>
      <c r="L89" s="7" t="str">
        <f>CONCATENATE("11 11.1 4b")</f>
        <v>11 11.1 4b</v>
      </c>
      <c r="M89" s="7" t="str">
        <f>CONCATENATE("RLABBR79D52B474D")</f>
        <v>RLABBR79D52B474D</v>
      </c>
      <c r="N89" s="7" t="s">
        <v>201</v>
      </c>
      <c r="O89" s="7" t="s">
        <v>139</v>
      </c>
      <c r="P89" s="8">
        <v>44545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3082.15</v>
      </c>
      <c r="W89" s="9">
        <v>1329.02</v>
      </c>
      <c r="X89" s="9">
        <v>1227.31</v>
      </c>
      <c r="Y89" s="7">
        <v>0</v>
      </c>
      <c r="Z89" s="7">
        <v>525.82000000000005</v>
      </c>
    </row>
    <row r="90" spans="1:26" x14ac:dyDescent="0.35">
      <c r="A90" s="7" t="s">
        <v>27</v>
      </c>
      <c r="B90" s="7" t="s">
        <v>43</v>
      </c>
      <c r="C90" s="7" t="s">
        <v>50</v>
      </c>
      <c r="D90" s="7" t="s">
        <v>59</v>
      </c>
      <c r="E90" s="7" t="s">
        <v>36</v>
      </c>
      <c r="F90" s="7" t="s">
        <v>202</v>
      </c>
      <c r="G90" s="7">
        <v>2021</v>
      </c>
      <c r="H90" s="7" t="str">
        <f>CONCATENATE("14240287046")</f>
        <v>14240287046</v>
      </c>
      <c r="I90" s="7" t="s">
        <v>30</v>
      </c>
      <c r="J90" s="7" t="s">
        <v>31</v>
      </c>
      <c r="K90" s="7" t="str">
        <f>CONCATENATE("")</f>
        <v/>
      </c>
      <c r="L90" s="7" t="str">
        <f>CONCATENATE("10 10.1 4a")</f>
        <v>10 10.1 4a</v>
      </c>
      <c r="M90" s="7" t="str">
        <f>CONCATENATE("RBZPLA78A17L736L")</f>
        <v>RBZPLA78A17L736L</v>
      </c>
      <c r="N90" s="7" t="s">
        <v>203</v>
      </c>
      <c r="O90" s="7" t="s">
        <v>204</v>
      </c>
      <c r="P90" s="8">
        <v>44544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7">
        <v>881.84</v>
      </c>
      <c r="W90" s="7">
        <v>380.25</v>
      </c>
      <c r="X90" s="7">
        <v>351.15</v>
      </c>
      <c r="Y90" s="7">
        <v>0</v>
      </c>
      <c r="Z90" s="7">
        <v>150.44</v>
      </c>
    </row>
    <row r="91" spans="1:26" x14ac:dyDescent="0.35">
      <c r="A91" s="7" t="s">
        <v>27</v>
      </c>
      <c r="B91" s="7" t="s">
        <v>43</v>
      </c>
      <c r="C91" s="7" t="s">
        <v>50</v>
      </c>
      <c r="D91" s="7" t="s">
        <v>59</v>
      </c>
      <c r="E91" s="7" t="s">
        <v>29</v>
      </c>
      <c r="F91" s="7" t="s">
        <v>205</v>
      </c>
      <c r="G91" s="7">
        <v>2021</v>
      </c>
      <c r="H91" s="7" t="str">
        <f>CONCATENATE("14211164372")</f>
        <v>14211164372</v>
      </c>
      <c r="I91" s="7" t="s">
        <v>30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CONCATENATE("MRCLSS96M20A462T")</f>
        <v>MRCLSS96M20A462T</v>
      </c>
      <c r="N91" s="7" t="s">
        <v>206</v>
      </c>
      <c r="O91" s="7" t="s">
        <v>175</v>
      </c>
      <c r="P91" s="8">
        <v>44546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1516.9</v>
      </c>
      <c r="W91" s="7">
        <v>654.09</v>
      </c>
      <c r="X91" s="7">
        <v>604.03</v>
      </c>
      <c r="Y91" s="7">
        <v>0</v>
      </c>
      <c r="Z91" s="7">
        <v>258.77999999999997</v>
      </c>
    </row>
    <row r="92" spans="1:26" x14ac:dyDescent="0.35">
      <c r="A92" s="7" t="s">
        <v>27</v>
      </c>
      <c r="B92" s="7" t="s">
        <v>43</v>
      </c>
      <c r="C92" s="7" t="s">
        <v>50</v>
      </c>
      <c r="D92" s="7" t="s">
        <v>95</v>
      </c>
      <c r="E92" s="7" t="s">
        <v>41</v>
      </c>
      <c r="F92" s="7" t="s">
        <v>149</v>
      </c>
      <c r="G92" s="7">
        <v>2021</v>
      </c>
      <c r="H92" s="7" t="str">
        <f>CONCATENATE("14210390184")</f>
        <v>14210390184</v>
      </c>
      <c r="I92" s="7" t="s">
        <v>30</v>
      </c>
      <c r="J92" s="7" t="s">
        <v>31</v>
      </c>
      <c r="K92" s="7" t="str">
        <f>CONCATENATE("")</f>
        <v/>
      </c>
      <c r="L92" s="7" t="str">
        <f>CONCATENATE("13 13.1 4a")</f>
        <v>13 13.1 4a</v>
      </c>
      <c r="M92" s="7" t="str">
        <f>CONCATENATE("PGTRNZ50T10B474K")</f>
        <v>PGTRNZ50T10B474K</v>
      </c>
      <c r="N92" s="7" t="s">
        <v>207</v>
      </c>
      <c r="O92" s="7" t="s">
        <v>175</v>
      </c>
      <c r="P92" s="8">
        <v>44546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1978.28</v>
      </c>
      <c r="W92" s="7">
        <v>853.03</v>
      </c>
      <c r="X92" s="7">
        <v>787.75</v>
      </c>
      <c r="Y92" s="7">
        <v>0</v>
      </c>
      <c r="Z92" s="7">
        <v>337.5</v>
      </c>
    </row>
    <row r="93" spans="1:26" ht="17.5" x14ac:dyDescent="0.35">
      <c r="A93" s="7" t="s">
        <v>27</v>
      </c>
      <c r="B93" s="7" t="s">
        <v>43</v>
      </c>
      <c r="C93" s="7" t="s">
        <v>50</v>
      </c>
      <c r="D93" s="7" t="s">
        <v>55</v>
      </c>
      <c r="E93" s="7" t="s">
        <v>38</v>
      </c>
      <c r="F93" s="7" t="s">
        <v>178</v>
      </c>
      <c r="G93" s="7">
        <v>2021</v>
      </c>
      <c r="H93" s="7" t="str">
        <f>CONCATENATE("14210962362")</f>
        <v>14210962362</v>
      </c>
      <c r="I93" s="7" t="s">
        <v>30</v>
      </c>
      <c r="J93" s="7" t="s">
        <v>31</v>
      </c>
      <c r="K93" s="7" t="str">
        <f>CONCATENATE("")</f>
        <v/>
      </c>
      <c r="L93" s="7" t="str">
        <f>CONCATENATE("13 13.1 4a")</f>
        <v>13 13.1 4a</v>
      </c>
      <c r="M93" s="7" t="str">
        <f>CONCATENATE("02102240419")</f>
        <v>02102240419</v>
      </c>
      <c r="N93" s="7" t="s">
        <v>208</v>
      </c>
      <c r="O93" s="7" t="s">
        <v>175</v>
      </c>
      <c r="P93" s="8">
        <v>44546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394.78</v>
      </c>
      <c r="W93" s="7">
        <v>170.23</v>
      </c>
      <c r="X93" s="7">
        <v>157.19999999999999</v>
      </c>
      <c r="Y93" s="7">
        <v>0</v>
      </c>
      <c r="Z93" s="7">
        <v>67.349999999999994</v>
      </c>
    </row>
    <row r="94" spans="1:26" x14ac:dyDescent="0.35">
      <c r="A94" s="7" t="s">
        <v>27</v>
      </c>
      <c r="B94" s="7" t="s">
        <v>43</v>
      </c>
      <c r="C94" s="7" t="s">
        <v>50</v>
      </c>
      <c r="D94" s="7" t="s">
        <v>95</v>
      </c>
      <c r="E94" s="7" t="s">
        <v>41</v>
      </c>
      <c r="F94" s="7" t="s">
        <v>149</v>
      </c>
      <c r="G94" s="7">
        <v>2021</v>
      </c>
      <c r="H94" s="7" t="str">
        <f>CONCATENATE("14210366507")</f>
        <v>14210366507</v>
      </c>
      <c r="I94" s="7" t="s">
        <v>30</v>
      </c>
      <c r="J94" s="7" t="s">
        <v>31</v>
      </c>
      <c r="K94" s="7" t="str">
        <f>CONCATENATE("")</f>
        <v/>
      </c>
      <c r="L94" s="7" t="str">
        <f>CONCATENATE("13 13.1 4a")</f>
        <v>13 13.1 4a</v>
      </c>
      <c r="M94" s="7" t="str">
        <f>CONCATENATE("01013470438")</f>
        <v>01013470438</v>
      </c>
      <c r="N94" s="7" t="s">
        <v>209</v>
      </c>
      <c r="O94" s="7" t="s">
        <v>175</v>
      </c>
      <c r="P94" s="8">
        <v>44546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8883.0499999999993</v>
      </c>
      <c r="W94" s="9">
        <v>3830.37</v>
      </c>
      <c r="X94" s="9">
        <v>3537.23</v>
      </c>
      <c r="Y94" s="7">
        <v>0</v>
      </c>
      <c r="Z94" s="9">
        <v>1515.45</v>
      </c>
    </row>
    <row r="95" spans="1:26" x14ac:dyDescent="0.35">
      <c r="A95" s="7" t="s">
        <v>27</v>
      </c>
      <c r="B95" s="7" t="s">
        <v>43</v>
      </c>
      <c r="C95" s="7" t="s">
        <v>50</v>
      </c>
      <c r="D95" s="7" t="s">
        <v>55</v>
      </c>
      <c r="E95" s="7" t="s">
        <v>29</v>
      </c>
      <c r="F95" s="7" t="s">
        <v>56</v>
      </c>
      <c r="G95" s="7">
        <v>2021</v>
      </c>
      <c r="H95" s="7" t="str">
        <f>CONCATENATE("14210067196")</f>
        <v>14210067196</v>
      </c>
      <c r="I95" s="7" t="s">
        <v>30</v>
      </c>
      <c r="J95" s="7" t="s">
        <v>31</v>
      </c>
      <c r="K95" s="7" t="str">
        <f>CONCATENATE("")</f>
        <v/>
      </c>
      <c r="L95" s="7" t="str">
        <f>CONCATENATE("13 13.1 4a")</f>
        <v>13 13.1 4a</v>
      </c>
      <c r="M95" s="7" t="str">
        <f>CONCATENATE("SPRGPL37A11E351J")</f>
        <v>SPRGPL37A11E351J</v>
      </c>
      <c r="N95" s="7" t="s">
        <v>210</v>
      </c>
      <c r="O95" s="7" t="s">
        <v>175</v>
      </c>
      <c r="P95" s="8">
        <v>44546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7">
        <v>969.58</v>
      </c>
      <c r="W95" s="7">
        <v>418.08</v>
      </c>
      <c r="X95" s="7">
        <v>386.09</v>
      </c>
      <c r="Y95" s="7">
        <v>0</v>
      </c>
      <c r="Z95" s="7">
        <v>165.41</v>
      </c>
    </row>
    <row r="96" spans="1:26" x14ac:dyDescent="0.35">
      <c r="A96" s="7" t="s">
        <v>27</v>
      </c>
      <c r="B96" s="7" t="s">
        <v>43</v>
      </c>
      <c r="C96" s="7" t="s">
        <v>50</v>
      </c>
      <c r="D96" s="7" t="s">
        <v>55</v>
      </c>
      <c r="E96" s="7" t="s">
        <v>29</v>
      </c>
      <c r="F96" s="7" t="s">
        <v>211</v>
      </c>
      <c r="G96" s="7">
        <v>2021</v>
      </c>
      <c r="H96" s="7" t="str">
        <f>CONCATENATE("14210185790")</f>
        <v>14210185790</v>
      </c>
      <c r="I96" s="7" t="s">
        <v>30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CONCATENATE("PRCGMC59A12D808R")</f>
        <v>PRCGMC59A12D808R</v>
      </c>
      <c r="N96" s="7" t="s">
        <v>212</v>
      </c>
      <c r="O96" s="7" t="s">
        <v>175</v>
      </c>
      <c r="P96" s="8">
        <v>44546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1750.16</v>
      </c>
      <c r="W96" s="7">
        <v>754.67</v>
      </c>
      <c r="X96" s="7">
        <v>696.91</v>
      </c>
      <c r="Y96" s="7">
        <v>0</v>
      </c>
      <c r="Z96" s="7">
        <v>298.58</v>
      </c>
    </row>
    <row r="97" spans="1:26" x14ac:dyDescent="0.35">
      <c r="A97" s="7" t="s">
        <v>27</v>
      </c>
      <c r="B97" s="7" t="s">
        <v>43</v>
      </c>
      <c r="C97" s="7" t="s">
        <v>50</v>
      </c>
      <c r="D97" s="7" t="s">
        <v>51</v>
      </c>
      <c r="E97" s="7" t="s">
        <v>29</v>
      </c>
      <c r="F97" s="7" t="s">
        <v>213</v>
      </c>
      <c r="G97" s="7">
        <v>2021</v>
      </c>
      <c r="H97" s="7" t="str">
        <f>CONCATENATE("14210464211")</f>
        <v>14210464211</v>
      </c>
      <c r="I97" s="7" t="s">
        <v>30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CONCATENATE("BZZRND55A01D965U")</f>
        <v>BZZRND55A01D965U</v>
      </c>
      <c r="N97" s="7" t="s">
        <v>214</v>
      </c>
      <c r="O97" s="7" t="s">
        <v>175</v>
      </c>
      <c r="P97" s="8">
        <v>44546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4186.5</v>
      </c>
      <c r="W97" s="9">
        <v>1805.22</v>
      </c>
      <c r="X97" s="9">
        <v>1667.06</v>
      </c>
      <c r="Y97" s="7">
        <v>0</v>
      </c>
      <c r="Z97" s="7">
        <v>714.22</v>
      </c>
    </row>
    <row r="98" spans="1:26" x14ac:dyDescent="0.35">
      <c r="A98" s="7" t="s">
        <v>27</v>
      </c>
      <c r="B98" s="7" t="s">
        <v>43</v>
      </c>
      <c r="C98" s="7" t="s">
        <v>50</v>
      </c>
      <c r="D98" s="7" t="s">
        <v>59</v>
      </c>
      <c r="E98" s="7" t="s">
        <v>29</v>
      </c>
      <c r="F98" s="7" t="s">
        <v>60</v>
      </c>
      <c r="G98" s="7">
        <v>2021</v>
      </c>
      <c r="H98" s="7" t="str">
        <f>CONCATENATE("14241211334")</f>
        <v>14241211334</v>
      </c>
      <c r="I98" s="7" t="s">
        <v>30</v>
      </c>
      <c r="J98" s="7" t="s">
        <v>31</v>
      </c>
      <c r="K98" s="7" t="str">
        <f>CONCATENATE("")</f>
        <v/>
      </c>
      <c r="L98" s="7" t="str">
        <f>CONCATENATE("10 10.1 4a")</f>
        <v>10 10.1 4a</v>
      </c>
      <c r="M98" s="7" t="str">
        <f>CONCATENATE("BRDRSN69E12D542A")</f>
        <v>BRDRSN69E12D542A</v>
      </c>
      <c r="N98" s="7" t="s">
        <v>215</v>
      </c>
      <c r="O98" s="7" t="s">
        <v>204</v>
      </c>
      <c r="P98" s="8">
        <v>44544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7">
        <v>214.76</v>
      </c>
      <c r="W98" s="7">
        <v>92.6</v>
      </c>
      <c r="X98" s="7">
        <v>85.52</v>
      </c>
      <c r="Y98" s="7">
        <v>0</v>
      </c>
      <c r="Z98" s="7">
        <v>36.64</v>
      </c>
    </row>
    <row r="99" spans="1:26" x14ac:dyDescent="0.35">
      <c r="A99" s="7" t="s">
        <v>27</v>
      </c>
      <c r="B99" s="7" t="s">
        <v>43</v>
      </c>
      <c r="C99" s="7" t="s">
        <v>50</v>
      </c>
      <c r="D99" s="7" t="s">
        <v>59</v>
      </c>
      <c r="E99" s="7" t="s">
        <v>36</v>
      </c>
      <c r="F99" s="7" t="s">
        <v>202</v>
      </c>
      <c r="G99" s="7">
        <v>2021</v>
      </c>
      <c r="H99" s="7" t="str">
        <f>CONCATENATE("14240429994")</f>
        <v>14240429994</v>
      </c>
      <c r="I99" s="7" t="s">
        <v>30</v>
      </c>
      <c r="J99" s="7" t="s">
        <v>31</v>
      </c>
      <c r="K99" s="7" t="str">
        <f>CONCATENATE("")</f>
        <v/>
      </c>
      <c r="L99" s="7" t="str">
        <f>CONCATENATE("10 10.1 4a")</f>
        <v>10 10.1 4a</v>
      </c>
      <c r="M99" s="7" t="str">
        <f>CONCATENATE("PRSSFN88A23A462D")</f>
        <v>PRSSFN88A23A462D</v>
      </c>
      <c r="N99" s="7" t="s">
        <v>216</v>
      </c>
      <c r="O99" s="7" t="s">
        <v>204</v>
      </c>
      <c r="P99" s="8">
        <v>44544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7">
        <v>534.36</v>
      </c>
      <c r="W99" s="7">
        <v>230.42</v>
      </c>
      <c r="X99" s="7">
        <v>212.78</v>
      </c>
      <c r="Y99" s="7">
        <v>0</v>
      </c>
      <c r="Z99" s="7">
        <v>91.16</v>
      </c>
    </row>
    <row r="100" spans="1:26" x14ac:dyDescent="0.35">
      <c r="A100" s="7" t="s">
        <v>27</v>
      </c>
      <c r="B100" s="7" t="s">
        <v>43</v>
      </c>
      <c r="C100" s="7" t="s">
        <v>50</v>
      </c>
      <c r="D100" s="7" t="s">
        <v>59</v>
      </c>
      <c r="E100" s="7" t="s">
        <v>29</v>
      </c>
      <c r="F100" s="7" t="s">
        <v>60</v>
      </c>
      <c r="G100" s="7">
        <v>2021</v>
      </c>
      <c r="H100" s="7" t="str">
        <f>CONCATENATE("14241080911")</f>
        <v>14241080911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CONCATENATE("10 10.1 4a")</f>
        <v>10 10.1 4a</v>
      </c>
      <c r="M100" s="7" t="str">
        <f>CONCATENATE("VTISMN91C08C770O")</f>
        <v>VTISMN91C08C770O</v>
      </c>
      <c r="N100" s="7" t="s">
        <v>217</v>
      </c>
      <c r="O100" s="7" t="s">
        <v>204</v>
      </c>
      <c r="P100" s="8">
        <v>44544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1762.48</v>
      </c>
      <c r="W100" s="7">
        <v>759.98</v>
      </c>
      <c r="X100" s="7">
        <v>701.82</v>
      </c>
      <c r="Y100" s="7">
        <v>0</v>
      </c>
      <c r="Z100" s="7">
        <v>300.68</v>
      </c>
    </row>
    <row r="101" spans="1:26" x14ac:dyDescent="0.35">
      <c r="A101" s="7" t="s">
        <v>27</v>
      </c>
      <c r="B101" s="7" t="s">
        <v>43</v>
      </c>
      <c r="C101" s="7" t="s">
        <v>50</v>
      </c>
      <c r="D101" s="7" t="s">
        <v>95</v>
      </c>
      <c r="E101" s="7" t="s">
        <v>41</v>
      </c>
      <c r="F101" s="7" t="s">
        <v>142</v>
      </c>
      <c r="G101" s="7">
        <v>2021</v>
      </c>
      <c r="H101" s="7" t="str">
        <f>CONCATENATE("14240778101")</f>
        <v>14240778101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CONCATENATE("10 10.1 4a")</f>
        <v>10 10.1 4a</v>
      </c>
      <c r="M101" s="7" t="str">
        <f>CONCATENATE("01741610438")</f>
        <v>01741610438</v>
      </c>
      <c r="N101" s="7" t="s">
        <v>218</v>
      </c>
      <c r="O101" s="7" t="s">
        <v>219</v>
      </c>
      <c r="P101" s="8">
        <v>44545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1425.32</v>
      </c>
      <c r="W101" s="7">
        <v>614.6</v>
      </c>
      <c r="X101" s="7">
        <v>567.55999999999995</v>
      </c>
      <c r="Y101" s="7">
        <v>0</v>
      </c>
      <c r="Z101" s="7">
        <v>243.16</v>
      </c>
    </row>
    <row r="102" spans="1:26" x14ac:dyDescent="0.35">
      <c r="A102" s="7" t="s">
        <v>27</v>
      </c>
      <c r="B102" s="7" t="s">
        <v>43</v>
      </c>
      <c r="C102" s="7" t="s">
        <v>50</v>
      </c>
      <c r="D102" s="7" t="s">
        <v>95</v>
      </c>
      <c r="E102" s="7" t="s">
        <v>41</v>
      </c>
      <c r="F102" s="7" t="s">
        <v>142</v>
      </c>
      <c r="G102" s="7">
        <v>2021</v>
      </c>
      <c r="H102" s="7" t="str">
        <f>CONCATENATE("14241032185")</f>
        <v>14241032185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CONCATENATE("10 10.1 4a")</f>
        <v>10 10.1 4a</v>
      </c>
      <c r="M102" s="7" t="str">
        <f>CONCATENATE("01913780431")</f>
        <v>01913780431</v>
      </c>
      <c r="N102" s="7" t="s">
        <v>220</v>
      </c>
      <c r="O102" s="7" t="s">
        <v>219</v>
      </c>
      <c r="P102" s="8">
        <v>44545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1585.71</v>
      </c>
      <c r="W102" s="7">
        <v>683.76</v>
      </c>
      <c r="X102" s="7">
        <v>631.42999999999995</v>
      </c>
      <c r="Y102" s="7">
        <v>0</v>
      </c>
      <c r="Z102" s="7">
        <v>270.52</v>
      </c>
    </row>
    <row r="103" spans="1:26" x14ac:dyDescent="0.35">
      <c r="A103" s="7" t="s">
        <v>27</v>
      </c>
      <c r="B103" s="7" t="s">
        <v>43</v>
      </c>
      <c r="C103" s="7" t="s">
        <v>50</v>
      </c>
      <c r="D103" s="7" t="s">
        <v>95</v>
      </c>
      <c r="E103" s="7" t="s">
        <v>41</v>
      </c>
      <c r="F103" s="7" t="s">
        <v>142</v>
      </c>
      <c r="G103" s="7">
        <v>2021</v>
      </c>
      <c r="H103" s="7" t="str">
        <f>CONCATENATE("14240311762")</f>
        <v>14240311762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CONCATENATE("10 10.1 4a")</f>
        <v>10 10.1 4a</v>
      </c>
      <c r="M103" s="7" t="str">
        <f>CONCATENATE("LRINTN48E17F567J")</f>
        <v>LRINTN48E17F567J</v>
      </c>
      <c r="N103" s="7" t="s">
        <v>221</v>
      </c>
      <c r="O103" s="7" t="s">
        <v>219</v>
      </c>
      <c r="P103" s="8">
        <v>44545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7">
        <v>884.96</v>
      </c>
      <c r="W103" s="7">
        <v>381.59</v>
      </c>
      <c r="X103" s="7">
        <v>352.39</v>
      </c>
      <c r="Y103" s="7">
        <v>0</v>
      </c>
      <c r="Z103" s="7">
        <v>150.97999999999999</v>
      </c>
    </row>
    <row r="104" spans="1:26" x14ac:dyDescent="0.35">
      <c r="A104" s="7" t="s">
        <v>27</v>
      </c>
      <c r="B104" s="7" t="s">
        <v>43</v>
      </c>
      <c r="C104" s="7" t="s">
        <v>50</v>
      </c>
      <c r="D104" s="7" t="s">
        <v>95</v>
      </c>
      <c r="E104" s="7" t="s">
        <v>41</v>
      </c>
      <c r="F104" s="7" t="s">
        <v>142</v>
      </c>
      <c r="G104" s="7">
        <v>2021</v>
      </c>
      <c r="H104" s="7" t="str">
        <f>CONCATENATE("14240397100")</f>
        <v>14240397100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CONCATENATE("10 10.1 4a")</f>
        <v>10 10.1 4a</v>
      </c>
      <c r="M104" s="7" t="str">
        <f>CONCATENATE("SLVGNN58D26C886F")</f>
        <v>SLVGNN58D26C886F</v>
      </c>
      <c r="N104" s="7" t="s">
        <v>222</v>
      </c>
      <c r="O104" s="7" t="s">
        <v>219</v>
      </c>
      <c r="P104" s="8">
        <v>44545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7">
        <v>401.28</v>
      </c>
      <c r="W104" s="7">
        <v>173.03</v>
      </c>
      <c r="X104" s="7">
        <v>159.79</v>
      </c>
      <c r="Y104" s="7">
        <v>0</v>
      </c>
      <c r="Z104" s="7">
        <v>68.459999999999994</v>
      </c>
    </row>
    <row r="105" spans="1:26" x14ac:dyDescent="0.35">
      <c r="A105" s="7" t="s">
        <v>27</v>
      </c>
      <c r="B105" s="7" t="s">
        <v>43</v>
      </c>
      <c r="C105" s="7" t="s">
        <v>50</v>
      </c>
      <c r="D105" s="7" t="s">
        <v>95</v>
      </c>
      <c r="E105" s="7" t="s">
        <v>41</v>
      </c>
      <c r="F105" s="7" t="s">
        <v>142</v>
      </c>
      <c r="G105" s="7">
        <v>2021</v>
      </c>
      <c r="H105" s="7" t="str">
        <f>CONCATENATE("14240315342")</f>
        <v>14240315342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CONCATENATE("10 10.1 4a")</f>
        <v>10 10.1 4a</v>
      </c>
      <c r="M105" s="7" t="str">
        <f>CONCATENATE("MSCMRA53L25I156U")</f>
        <v>MSCMRA53L25I156U</v>
      </c>
      <c r="N105" s="7" t="s">
        <v>223</v>
      </c>
      <c r="O105" s="7" t="s">
        <v>219</v>
      </c>
      <c r="P105" s="8">
        <v>44545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7">
        <v>332.36</v>
      </c>
      <c r="W105" s="7">
        <v>143.31</v>
      </c>
      <c r="X105" s="7">
        <v>132.35</v>
      </c>
      <c r="Y105" s="7">
        <v>0</v>
      </c>
      <c r="Z105" s="7">
        <v>56.7</v>
      </c>
    </row>
    <row r="106" spans="1:26" x14ac:dyDescent="0.35">
      <c r="A106" s="7" t="s">
        <v>27</v>
      </c>
      <c r="B106" s="7" t="s">
        <v>43</v>
      </c>
      <c r="C106" s="7" t="s">
        <v>50</v>
      </c>
      <c r="D106" s="7" t="s">
        <v>59</v>
      </c>
      <c r="E106" s="7" t="s">
        <v>29</v>
      </c>
      <c r="F106" s="7" t="s">
        <v>224</v>
      </c>
      <c r="G106" s="7">
        <v>2021</v>
      </c>
      <c r="H106" s="7" t="str">
        <f>CONCATENATE("14240102906")</f>
        <v>14240102906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CONCATENATE("11 11.2 4b")</f>
        <v>11 11.2 4b</v>
      </c>
      <c r="M106" s="7" t="str">
        <f>CONCATENATE("MCZVCN49M26B534F")</f>
        <v>MCZVCN49M26B534F</v>
      </c>
      <c r="N106" s="7" t="s">
        <v>225</v>
      </c>
      <c r="O106" s="7" t="s">
        <v>166</v>
      </c>
      <c r="P106" s="8">
        <v>44546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2564.0700000000002</v>
      </c>
      <c r="W106" s="9">
        <v>1105.6300000000001</v>
      </c>
      <c r="X106" s="9">
        <v>1021.01</v>
      </c>
      <c r="Y106" s="7">
        <v>0</v>
      </c>
      <c r="Z106" s="7">
        <v>437.43</v>
      </c>
    </row>
    <row r="107" spans="1:26" x14ac:dyDescent="0.35">
      <c r="A107" s="7" t="s">
        <v>27</v>
      </c>
      <c r="B107" s="7" t="s">
        <v>43</v>
      </c>
      <c r="C107" s="7" t="s">
        <v>50</v>
      </c>
      <c r="D107" s="7" t="s">
        <v>55</v>
      </c>
      <c r="E107" s="7" t="s">
        <v>36</v>
      </c>
      <c r="F107" s="7" t="s">
        <v>226</v>
      </c>
      <c r="G107" s="7">
        <v>2021</v>
      </c>
      <c r="H107" s="7" t="str">
        <f>CONCATENATE("14241564153")</f>
        <v>14241564153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CONCATENATE("14 14.1 3a")</f>
        <v>14 14.1 3a</v>
      </c>
      <c r="M107" s="7" t="str">
        <f>CONCATENATE("BNDLCU60H23G479K")</f>
        <v>BNDLCU60H23G479K</v>
      </c>
      <c r="N107" s="7" t="s">
        <v>227</v>
      </c>
      <c r="O107" s="7" t="s">
        <v>168</v>
      </c>
      <c r="P107" s="8">
        <v>44543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16550</v>
      </c>
      <c r="W107" s="9">
        <v>7136.36</v>
      </c>
      <c r="X107" s="9">
        <v>6590.21</v>
      </c>
      <c r="Y107" s="7">
        <v>0</v>
      </c>
      <c r="Z107" s="9">
        <v>2823.43</v>
      </c>
    </row>
    <row r="108" spans="1:26" x14ac:dyDescent="0.35">
      <c r="A108" s="7" t="s">
        <v>27</v>
      </c>
      <c r="B108" s="7" t="s">
        <v>43</v>
      </c>
      <c r="C108" s="7" t="s">
        <v>50</v>
      </c>
      <c r="D108" s="7" t="s">
        <v>55</v>
      </c>
      <c r="E108" s="7" t="s">
        <v>44</v>
      </c>
      <c r="F108" s="7" t="s">
        <v>228</v>
      </c>
      <c r="G108" s="7">
        <v>2021</v>
      </c>
      <c r="H108" s="7" t="str">
        <f>CONCATENATE("14241501163")</f>
        <v>14241501163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CONCATENATE("14 14.1 3a")</f>
        <v>14 14.1 3a</v>
      </c>
      <c r="M108" s="7" t="str">
        <f>CONCATENATE("TNGMRA53S69H958N")</f>
        <v>TNGMRA53S69H958N</v>
      </c>
      <c r="N108" s="7" t="s">
        <v>229</v>
      </c>
      <c r="O108" s="7" t="s">
        <v>168</v>
      </c>
      <c r="P108" s="8">
        <v>44543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11040</v>
      </c>
      <c r="W108" s="9">
        <v>4760.45</v>
      </c>
      <c r="X108" s="9">
        <v>4396.13</v>
      </c>
      <c r="Y108" s="7">
        <v>0</v>
      </c>
      <c r="Z108" s="9">
        <v>1883.42</v>
      </c>
    </row>
    <row r="109" spans="1:26" x14ac:dyDescent="0.35">
      <c r="A109" s="7" t="s">
        <v>27</v>
      </c>
      <c r="B109" s="7" t="s">
        <v>43</v>
      </c>
      <c r="C109" s="7" t="s">
        <v>50</v>
      </c>
      <c r="D109" s="7" t="s">
        <v>55</v>
      </c>
      <c r="E109" s="7" t="s">
        <v>29</v>
      </c>
      <c r="F109" s="7" t="s">
        <v>230</v>
      </c>
      <c r="G109" s="7">
        <v>2021</v>
      </c>
      <c r="H109" s="7" t="str">
        <f>CONCATENATE("14240377938")</f>
        <v>14240377938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CONCATENATE("14 14.1 3a")</f>
        <v>14 14.1 3a</v>
      </c>
      <c r="M109" s="7" t="str">
        <f>CONCATENATE("00414160416")</f>
        <v>00414160416</v>
      </c>
      <c r="N109" s="7" t="s">
        <v>231</v>
      </c>
      <c r="O109" s="7" t="s">
        <v>168</v>
      </c>
      <c r="P109" s="8">
        <v>44543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17082.900000000001</v>
      </c>
      <c r="W109" s="9">
        <v>7366.15</v>
      </c>
      <c r="X109" s="9">
        <v>6802.41</v>
      </c>
      <c r="Y109" s="7">
        <v>0</v>
      </c>
      <c r="Z109" s="9">
        <v>2914.34</v>
      </c>
    </row>
    <row r="110" spans="1:26" x14ac:dyDescent="0.35">
      <c r="A110" s="7" t="s">
        <v>27</v>
      </c>
      <c r="B110" s="7" t="s">
        <v>43</v>
      </c>
      <c r="C110" s="7" t="s">
        <v>50</v>
      </c>
      <c r="D110" s="7" t="s">
        <v>55</v>
      </c>
      <c r="E110" s="7" t="s">
        <v>49</v>
      </c>
      <c r="F110" s="7" t="s">
        <v>232</v>
      </c>
      <c r="G110" s="7">
        <v>2021</v>
      </c>
      <c r="H110" s="7" t="str">
        <f>CONCATENATE("14241181032")</f>
        <v>14241181032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CONCATENATE("14 14.1 3a")</f>
        <v>14 14.1 3a</v>
      </c>
      <c r="M110" s="7" t="str">
        <f>CONCATENATE("02681090417")</f>
        <v>02681090417</v>
      </c>
      <c r="N110" s="7" t="s">
        <v>233</v>
      </c>
      <c r="O110" s="7" t="s">
        <v>168</v>
      </c>
      <c r="P110" s="8">
        <v>44543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7792.2</v>
      </c>
      <c r="W110" s="9">
        <v>3360</v>
      </c>
      <c r="X110" s="9">
        <v>3102.85</v>
      </c>
      <c r="Y110" s="7">
        <v>0</v>
      </c>
      <c r="Z110" s="9">
        <v>1329.35</v>
      </c>
    </row>
    <row r="111" spans="1:26" x14ac:dyDescent="0.35">
      <c r="A111" s="7" t="s">
        <v>27</v>
      </c>
      <c r="B111" s="7" t="s">
        <v>43</v>
      </c>
      <c r="C111" s="7" t="s">
        <v>50</v>
      </c>
      <c r="D111" s="7" t="s">
        <v>95</v>
      </c>
      <c r="E111" s="7" t="s">
        <v>29</v>
      </c>
      <c r="F111" s="7" t="s">
        <v>147</v>
      </c>
      <c r="G111" s="7">
        <v>2021</v>
      </c>
      <c r="H111" s="7" t="str">
        <f>CONCATENATE("14240980020")</f>
        <v>14240980020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CONCATENATE("14 14.1 3a")</f>
        <v>14 14.1 3a</v>
      </c>
      <c r="M111" s="7" t="str">
        <f>CONCATENATE("SBRDNC63A07B474E")</f>
        <v>SBRDNC63A07B474E</v>
      </c>
      <c r="N111" s="7" t="s">
        <v>234</v>
      </c>
      <c r="O111" s="7" t="s">
        <v>168</v>
      </c>
      <c r="P111" s="8">
        <v>44543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4875</v>
      </c>
      <c r="W111" s="9">
        <v>2102.1</v>
      </c>
      <c r="X111" s="9">
        <v>1941.23</v>
      </c>
      <c r="Y111" s="7">
        <v>0</v>
      </c>
      <c r="Z111" s="7">
        <v>831.67</v>
      </c>
    </row>
    <row r="112" spans="1:26" x14ac:dyDescent="0.35">
      <c r="A112" s="7" t="s">
        <v>27</v>
      </c>
      <c r="B112" s="7" t="s">
        <v>43</v>
      </c>
      <c r="C112" s="7" t="s">
        <v>50</v>
      </c>
      <c r="D112" s="7" t="s">
        <v>95</v>
      </c>
      <c r="E112" s="7" t="s">
        <v>29</v>
      </c>
      <c r="F112" s="7" t="s">
        <v>235</v>
      </c>
      <c r="G112" s="7">
        <v>2021</v>
      </c>
      <c r="H112" s="7" t="str">
        <f>CONCATENATE("14241390559")</f>
        <v>14241390559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CONCATENATE("14 14.1 3a")</f>
        <v>14 14.1 3a</v>
      </c>
      <c r="M112" s="7" t="str">
        <f>CONCATENATE("PCCGNN75R08D211D")</f>
        <v>PCCGNN75R08D211D</v>
      </c>
      <c r="N112" s="7" t="s">
        <v>236</v>
      </c>
      <c r="O112" s="7" t="s">
        <v>168</v>
      </c>
      <c r="P112" s="8">
        <v>44543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13609.7</v>
      </c>
      <c r="W112" s="9">
        <v>5868.5</v>
      </c>
      <c r="X112" s="9">
        <v>5419.38</v>
      </c>
      <c r="Y112" s="7">
        <v>0</v>
      </c>
      <c r="Z112" s="9">
        <v>2321.8200000000002</v>
      </c>
    </row>
    <row r="113" spans="1:26" ht="17.5" x14ac:dyDescent="0.35">
      <c r="A113" s="7" t="s">
        <v>27</v>
      </c>
      <c r="B113" s="7" t="s">
        <v>43</v>
      </c>
      <c r="C113" s="7" t="s">
        <v>50</v>
      </c>
      <c r="D113" s="7" t="s">
        <v>55</v>
      </c>
      <c r="E113" s="7" t="s">
        <v>41</v>
      </c>
      <c r="F113" s="7" t="s">
        <v>73</v>
      </c>
      <c r="G113" s="7">
        <v>2021</v>
      </c>
      <c r="H113" s="7" t="str">
        <f>CONCATENATE("14240559105")</f>
        <v>14240559105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CONCATENATE("14 14.1 3a")</f>
        <v>14 14.1 3a</v>
      </c>
      <c r="M113" s="7" t="str">
        <f>CONCATENATE("02615600414")</f>
        <v>02615600414</v>
      </c>
      <c r="N113" s="7" t="s">
        <v>237</v>
      </c>
      <c r="O113" s="7" t="s">
        <v>168</v>
      </c>
      <c r="P113" s="8">
        <v>44543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7160</v>
      </c>
      <c r="W113" s="9">
        <v>3087.39</v>
      </c>
      <c r="X113" s="9">
        <v>2851.11</v>
      </c>
      <c r="Y113" s="7">
        <v>0</v>
      </c>
      <c r="Z113" s="9">
        <v>1221.5</v>
      </c>
    </row>
    <row r="114" spans="1:26" x14ac:dyDescent="0.35">
      <c r="A114" s="7" t="s">
        <v>27</v>
      </c>
      <c r="B114" s="7" t="s">
        <v>43</v>
      </c>
      <c r="C114" s="7" t="s">
        <v>50</v>
      </c>
      <c r="D114" s="7" t="s">
        <v>55</v>
      </c>
      <c r="E114" s="7" t="s">
        <v>29</v>
      </c>
      <c r="F114" s="7" t="s">
        <v>67</v>
      </c>
      <c r="G114" s="7">
        <v>2021</v>
      </c>
      <c r="H114" s="7" t="str">
        <f>CONCATENATE("14240859067")</f>
        <v>14240859067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CONCATENATE("14 14.1 3a")</f>
        <v>14 14.1 3a</v>
      </c>
      <c r="M114" s="7" t="str">
        <f>CONCATENATE("GRDSMN88B14L500U")</f>
        <v>GRDSMN88B14L500U</v>
      </c>
      <c r="N114" s="7" t="s">
        <v>238</v>
      </c>
      <c r="O114" s="7" t="s">
        <v>168</v>
      </c>
      <c r="P114" s="8">
        <v>44543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7">
        <v>403.99</v>
      </c>
      <c r="W114" s="7">
        <v>174.2</v>
      </c>
      <c r="X114" s="7">
        <v>160.87</v>
      </c>
      <c r="Y114" s="7">
        <v>0</v>
      </c>
      <c r="Z114" s="7">
        <v>68.92</v>
      </c>
    </row>
    <row r="115" spans="1:26" x14ac:dyDescent="0.35">
      <c r="A115" s="7" t="s">
        <v>27</v>
      </c>
      <c r="B115" s="7" t="s">
        <v>43</v>
      </c>
      <c r="C115" s="7" t="s">
        <v>50</v>
      </c>
      <c r="D115" s="7" t="s">
        <v>55</v>
      </c>
      <c r="E115" s="7" t="s">
        <v>41</v>
      </c>
      <c r="F115" s="7" t="s">
        <v>98</v>
      </c>
      <c r="G115" s="7">
        <v>2021</v>
      </c>
      <c r="H115" s="7" t="str">
        <f>CONCATENATE("14241208454")</f>
        <v>14241208454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CONCATENATE("14 14.1 3a")</f>
        <v>14 14.1 3a</v>
      </c>
      <c r="M115" s="7" t="str">
        <f>CONCATENATE("MGNLNU80P52H294B")</f>
        <v>MGNLNU80P52H294B</v>
      </c>
      <c r="N115" s="7" t="s">
        <v>239</v>
      </c>
      <c r="O115" s="7" t="s">
        <v>168</v>
      </c>
      <c r="P115" s="8">
        <v>44543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5891.8</v>
      </c>
      <c r="W115" s="9">
        <v>2540.54</v>
      </c>
      <c r="X115" s="9">
        <v>2346.11</v>
      </c>
      <c r="Y115" s="7">
        <v>0</v>
      </c>
      <c r="Z115" s="9">
        <v>1005.15</v>
      </c>
    </row>
    <row r="116" spans="1:26" x14ac:dyDescent="0.35">
      <c r="A116" s="7" t="s">
        <v>27</v>
      </c>
      <c r="B116" s="7" t="s">
        <v>43</v>
      </c>
      <c r="C116" s="7" t="s">
        <v>50</v>
      </c>
      <c r="D116" s="7" t="s">
        <v>55</v>
      </c>
      <c r="E116" s="7" t="s">
        <v>41</v>
      </c>
      <c r="F116" s="7" t="s">
        <v>73</v>
      </c>
      <c r="G116" s="7">
        <v>2021</v>
      </c>
      <c r="H116" s="7" t="str">
        <f>CONCATENATE("14240575317")</f>
        <v>14240575317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CONCATENATE("14 14.1 3a")</f>
        <v>14 14.1 3a</v>
      </c>
      <c r="M116" s="7" t="str">
        <f>CONCATENATE("02683880419")</f>
        <v>02683880419</v>
      </c>
      <c r="N116" s="7" t="s">
        <v>240</v>
      </c>
      <c r="O116" s="7" t="s">
        <v>168</v>
      </c>
      <c r="P116" s="8">
        <v>44543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11388.6</v>
      </c>
      <c r="W116" s="9">
        <v>4910.76</v>
      </c>
      <c r="X116" s="9">
        <v>4534.9399999999996</v>
      </c>
      <c r="Y116" s="7">
        <v>0</v>
      </c>
      <c r="Z116" s="9">
        <v>1942.9</v>
      </c>
    </row>
    <row r="117" spans="1:26" x14ac:dyDescent="0.35">
      <c r="A117" s="7" t="s">
        <v>27</v>
      </c>
      <c r="B117" s="7" t="s">
        <v>43</v>
      </c>
      <c r="C117" s="7" t="s">
        <v>50</v>
      </c>
      <c r="D117" s="7" t="s">
        <v>55</v>
      </c>
      <c r="E117" s="7" t="s">
        <v>29</v>
      </c>
      <c r="F117" s="7" t="s">
        <v>230</v>
      </c>
      <c r="G117" s="7">
        <v>2021</v>
      </c>
      <c r="H117" s="7" t="str">
        <f>CONCATENATE("14240380544")</f>
        <v>14240380544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CONCATENATE("14 14.1 3a")</f>
        <v>14 14.1 3a</v>
      </c>
      <c r="M117" s="7" t="str">
        <f>CONCATENATE("02679820411")</f>
        <v>02679820411</v>
      </c>
      <c r="N117" s="7" t="s">
        <v>241</v>
      </c>
      <c r="O117" s="7" t="s">
        <v>168</v>
      </c>
      <c r="P117" s="8">
        <v>44543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20620</v>
      </c>
      <c r="W117" s="9">
        <v>8891.34</v>
      </c>
      <c r="X117" s="9">
        <v>8210.8799999999992</v>
      </c>
      <c r="Y117" s="7">
        <v>0</v>
      </c>
      <c r="Z117" s="9">
        <v>3517.78</v>
      </c>
    </row>
    <row r="118" spans="1:26" ht="17.5" x14ac:dyDescent="0.35">
      <c r="A118" s="7" t="s">
        <v>27</v>
      </c>
      <c r="B118" s="7" t="s">
        <v>43</v>
      </c>
      <c r="C118" s="7" t="s">
        <v>50</v>
      </c>
      <c r="D118" s="7" t="s">
        <v>55</v>
      </c>
      <c r="E118" s="7" t="s">
        <v>29</v>
      </c>
      <c r="F118" s="7" t="s">
        <v>67</v>
      </c>
      <c r="G118" s="7">
        <v>2021</v>
      </c>
      <c r="H118" s="7" t="str">
        <f>CONCATENATE("14241152280")</f>
        <v>14241152280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CONCATENATE("14 14.1 3a")</f>
        <v>14 14.1 3a</v>
      </c>
      <c r="M118" s="7" t="str">
        <f>CONCATENATE("01382630414")</f>
        <v>01382630414</v>
      </c>
      <c r="N118" s="7" t="s">
        <v>242</v>
      </c>
      <c r="O118" s="7" t="s">
        <v>168</v>
      </c>
      <c r="P118" s="8">
        <v>44543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10045.799999999999</v>
      </c>
      <c r="W118" s="9">
        <v>4331.75</v>
      </c>
      <c r="X118" s="9">
        <v>4000.24</v>
      </c>
      <c r="Y118" s="7">
        <v>0</v>
      </c>
      <c r="Z118" s="9">
        <v>1713.81</v>
      </c>
    </row>
    <row r="119" spans="1:26" x14ac:dyDescent="0.35">
      <c r="A119" s="7" t="s">
        <v>27</v>
      </c>
      <c r="B119" s="7" t="s">
        <v>43</v>
      </c>
      <c r="C119" s="7" t="s">
        <v>50</v>
      </c>
      <c r="D119" s="7" t="s">
        <v>51</v>
      </c>
      <c r="E119" s="7" t="s">
        <v>36</v>
      </c>
      <c r="F119" s="7" t="s">
        <v>243</v>
      </c>
      <c r="G119" s="7">
        <v>2021</v>
      </c>
      <c r="H119" s="7" t="str">
        <f>CONCATENATE("14210982592")</f>
        <v>14210982592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CONCATENATE("12 12.1 4a")</f>
        <v>12 12.1 4a</v>
      </c>
      <c r="M119" s="7" t="str">
        <f>CONCATENATE("02486560408")</f>
        <v>02486560408</v>
      </c>
      <c r="N119" s="7" t="s">
        <v>244</v>
      </c>
      <c r="O119" s="7" t="s">
        <v>173</v>
      </c>
      <c r="P119" s="8">
        <v>44544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3613.38</v>
      </c>
      <c r="W119" s="9">
        <v>1558.09</v>
      </c>
      <c r="X119" s="9">
        <v>1438.85</v>
      </c>
      <c r="Y119" s="7">
        <v>0</v>
      </c>
      <c r="Z119" s="7">
        <v>616.44000000000005</v>
      </c>
    </row>
    <row r="120" spans="1:26" x14ac:dyDescent="0.35">
      <c r="A120" s="7" t="s">
        <v>27</v>
      </c>
      <c r="B120" s="7" t="s">
        <v>43</v>
      </c>
      <c r="C120" s="7" t="s">
        <v>50</v>
      </c>
      <c r="D120" s="7" t="s">
        <v>95</v>
      </c>
      <c r="E120" s="7" t="s">
        <v>29</v>
      </c>
      <c r="F120" s="7" t="s">
        <v>147</v>
      </c>
      <c r="G120" s="7">
        <v>2017</v>
      </c>
      <c r="H120" s="7" t="str">
        <f>CONCATENATE("74211619031")</f>
        <v>74211619031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CONCATENATE("13 13.1 4a")</f>
        <v>13 13.1 4a</v>
      </c>
      <c r="M120" s="7" t="str">
        <f>CONCATENATE("01588910438")</f>
        <v>01588910438</v>
      </c>
      <c r="N120" s="7" t="s">
        <v>245</v>
      </c>
      <c r="O120" s="7" t="s">
        <v>175</v>
      </c>
      <c r="P120" s="8">
        <v>44546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2679.87</v>
      </c>
      <c r="W120" s="9">
        <v>1155.56</v>
      </c>
      <c r="X120" s="9">
        <v>1067.1199999999999</v>
      </c>
      <c r="Y120" s="7">
        <v>0</v>
      </c>
      <c r="Z120" s="7">
        <v>457.19</v>
      </c>
    </row>
    <row r="121" spans="1:26" x14ac:dyDescent="0.35">
      <c r="A121" s="7" t="s">
        <v>27</v>
      </c>
      <c r="B121" s="7" t="s">
        <v>43</v>
      </c>
      <c r="C121" s="7" t="s">
        <v>50</v>
      </c>
      <c r="D121" s="7" t="s">
        <v>95</v>
      </c>
      <c r="E121" s="7" t="s">
        <v>29</v>
      </c>
      <c r="F121" s="7" t="s">
        <v>147</v>
      </c>
      <c r="G121" s="7">
        <v>2020</v>
      </c>
      <c r="H121" s="7" t="str">
        <f>CONCATENATE("04210396315")</f>
        <v>04210396315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CONCATENATE("13 13.1 4a")</f>
        <v>13 13.1 4a</v>
      </c>
      <c r="M121" s="7" t="str">
        <f>CONCATENATE("NGLTRZ75H01B474R")</f>
        <v>NGLTRZ75H01B474R</v>
      </c>
      <c r="N121" s="7" t="s">
        <v>246</v>
      </c>
      <c r="O121" s="7" t="s">
        <v>175</v>
      </c>
      <c r="P121" s="8">
        <v>44546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1961.52</v>
      </c>
      <c r="W121" s="7">
        <v>845.81</v>
      </c>
      <c r="X121" s="7">
        <v>781.08</v>
      </c>
      <c r="Y121" s="7">
        <v>0</v>
      </c>
      <c r="Z121" s="7">
        <v>334.63</v>
      </c>
    </row>
    <row r="122" spans="1:26" x14ac:dyDescent="0.35">
      <c r="A122" s="7" t="s">
        <v>27</v>
      </c>
      <c r="B122" s="7" t="s">
        <v>43</v>
      </c>
      <c r="C122" s="7" t="s">
        <v>50</v>
      </c>
      <c r="D122" s="7" t="s">
        <v>95</v>
      </c>
      <c r="E122" s="7" t="s">
        <v>41</v>
      </c>
      <c r="F122" s="7" t="s">
        <v>149</v>
      </c>
      <c r="G122" s="7">
        <v>2021</v>
      </c>
      <c r="H122" s="7" t="str">
        <f>CONCATENATE("14210389376")</f>
        <v>14210389376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CONCATENATE("13 13.1 4a")</f>
        <v>13 13.1 4a</v>
      </c>
      <c r="M122" s="7" t="str">
        <f>CONCATENATE("PGGPNI61L21D628Y")</f>
        <v>PGGPNI61L21D628Y</v>
      </c>
      <c r="N122" s="7" t="s">
        <v>247</v>
      </c>
      <c r="O122" s="7" t="s">
        <v>175</v>
      </c>
      <c r="P122" s="8">
        <v>44546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7">
        <v>533.24</v>
      </c>
      <c r="W122" s="7">
        <v>229.93</v>
      </c>
      <c r="X122" s="7">
        <v>212.34</v>
      </c>
      <c r="Y122" s="7">
        <v>0</v>
      </c>
      <c r="Z122" s="7">
        <v>90.97</v>
      </c>
    </row>
    <row r="123" spans="1:26" x14ac:dyDescent="0.35">
      <c r="A123" s="7" t="s">
        <v>27</v>
      </c>
      <c r="B123" s="7" t="s">
        <v>43</v>
      </c>
      <c r="C123" s="7" t="s">
        <v>50</v>
      </c>
      <c r="D123" s="7" t="s">
        <v>55</v>
      </c>
      <c r="E123" s="7" t="s">
        <v>29</v>
      </c>
      <c r="F123" s="7" t="s">
        <v>67</v>
      </c>
      <c r="G123" s="7">
        <v>2021</v>
      </c>
      <c r="H123" s="7" t="str">
        <f>CONCATENATE("14210021045")</f>
        <v>14210021045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CONCATENATE("13 13.1 4a")</f>
        <v>13 13.1 4a</v>
      </c>
      <c r="M123" s="7" t="str">
        <f>CONCATENATE("DNILGU48A03F135B")</f>
        <v>DNILGU48A03F135B</v>
      </c>
      <c r="N123" s="7" t="s">
        <v>248</v>
      </c>
      <c r="O123" s="7" t="s">
        <v>175</v>
      </c>
      <c r="P123" s="8">
        <v>44546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1253.44</v>
      </c>
      <c r="W123" s="7">
        <v>540.48</v>
      </c>
      <c r="X123" s="7">
        <v>499.12</v>
      </c>
      <c r="Y123" s="7">
        <v>0</v>
      </c>
      <c r="Z123" s="7">
        <v>213.84</v>
      </c>
    </row>
    <row r="124" spans="1:26" x14ac:dyDescent="0.35">
      <c r="A124" s="7" t="s">
        <v>27</v>
      </c>
      <c r="B124" s="7" t="s">
        <v>43</v>
      </c>
      <c r="C124" s="7" t="s">
        <v>50</v>
      </c>
      <c r="D124" s="7" t="s">
        <v>95</v>
      </c>
      <c r="E124" s="7" t="s">
        <v>41</v>
      </c>
      <c r="F124" s="7" t="s">
        <v>144</v>
      </c>
      <c r="G124" s="7">
        <v>2021</v>
      </c>
      <c r="H124" s="7" t="str">
        <f>CONCATENATE("14210384617")</f>
        <v>14210384617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CONCATENATE("13 13.1 4a")</f>
        <v>13 13.1 4a</v>
      </c>
      <c r="M124" s="7" t="str">
        <f>CONCATENATE("RCCSFN79A06I156Z")</f>
        <v>RCCSFN79A06I156Z</v>
      </c>
      <c r="N124" s="7" t="s">
        <v>249</v>
      </c>
      <c r="O124" s="7" t="s">
        <v>175</v>
      </c>
      <c r="P124" s="8">
        <v>44546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9000</v>
      </c>
      <c r="W124" s="9">
        <v>3880.8</v>
      </c>
      <c r="X124" s="9">
        <v>3583.8</v>
      </c>
      <c r="Y124" s="7">
        <v>0</v>
      </c>
      <c r="Z124" s="9">
        <v>1535.4</v>
      </c>
    </row>
    <row r="125" spans="1:26" x14ac:dyDescent="0.35">
      <c r="A125" s="7" t="s">
        <v>27</v>
      </c>
      <c r="B125" s="7" t="s">
        <v>43</v>
      </c>
      <c r="C125" s="7" t="s">
        <v>50</v>
      </c>
      <c r="D125" s="7" t="s">
        <v>95</v>
      </c>
      <c r="E125" s="7" t="s">
        <v>41</v>
      </c>
      <c r="F125" s="7" t="s">
        <v>144</v>
      </c>
      <c r="G125" s="7">
        <v>2021</v>
      </c>
      <c r="H125" s="7" t="str">
        <f>CONCATENATE("14211000139")</f>
        <v>14211000139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CONCATENATE("13 13.1 4a")</f>
        <v>13 13.1 4a</v>
      </c>
      <c r="M125" s="7" t="str">
        <f>CONCATENATE("PRSCTN51T26L517S")</f>
        <v>PRSCTN51T26L517S</v>
      </c>
      <c r="N125" s="7" t="s">
        <v>250</v>
      </c>
      <c r="O125" s="7" t="s">
        <v>175</v>
      </c>
      <c r="P125" s="8">
        <v>44546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9000</v>
      </c>
      <c r="W125" s="9">
        <v>3880.8</v>
      </c>
      <c r="X125" s="9">
        <v>3583.8</v>
      </c>
      <c r="Y125" s="7">
        <v>0</v>
      </c>
      <c r="Z125" s="9">
        <v>1535.4</v>
      </c>
    </row>
    <row r="126" spans="1:26" x14ac:dyDescent="0.35">
      <c r="A126" s="7" t="s">
        <v>27</v>
      </c>
      <c r="B126" s="7" t="s">
        <v>43</v>
      </c>
      <c r="C126" s="7" t="s">
        <v>50</v>
      </c>
      <c r="D126" s="7" t="s">
        <v>55</v>
      </c>
      <c r="E126" s="7" t="s">
        <v>29</v>
      </c>
      <c r="F126" s="7" t="s">
        <v>56</v>
      </c>
      <c r="G126" s="7">
        <v>2021</v>
      </c>
      <c r="H126" s="7" t="str">
        <f>CONCATENATE("14210015237")</f>
        <v>14210015237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CONCATENATE("13 13.1 4a")</f>
        <v>13 13.1 4a</v>
      </c>
      <c r="M126" s="7" t="str">
        <f>CONCATENATE("TNLNGL53S27B846A")</f>
        <v>TNLNGL53S27B846A</v>
      </c>
      <c r="N126" s="7" t="s">
        <v>251</v>
      </c>
      <c r="O126" s="7" t="s">
        <v>175</v>
      </c>
      <c r="P126" s="8">
        <v>44546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1851.38</v>
      </c>
      <c r="W126" s="7">
        <v>798.32</v>
      </c>
      <c r="X126" s="7">
        <v>737.22</v>
      </c>
      <c r="Y126" s="7">
        <v>0</v>
      </c>
      <c r="Z126" s="7">
        <v>315.83999999999997</v>
      </c>
    </row>
    <row r="127" spans="1:26" x14ac:dyDescent="0.35">
      <c r="A127" s="7" t="s">
        <v>27</v>
      </c>
      <c r="B127" s="7" t="s">
        <v>43</v>
      </c>
      <c r="C127" s="7" t="s">
        <v>50</v>
      </c>
      <c r="D127" s="7" t="s">
        <v>59</v>
      </c>
      <c r="E127" s="7" t="s">
        <v>29</v>
      </c>
      <c r="F127" s="7" t="s">
        <v>205</v>
      </c>
      <c r="G127" s="7">
        <v>2021</v>
      </c>
      <c r="H127" s="7" t="str">
        <f>CONCATENATE("14210351673")</f>
        <v>14210351673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CONCATENATE("13 13.1 4a")</f>
        <v>13 13.1 4a</v>
      </c>
      <c r="M127" s="7" t="str">
        <f>CONCATENATE("SSTMRT59D45G289N")</f>
        <v>SSTMRT59D45G289N</v>
      </c>
      <c r="N127" s="7" t="s">
        <v>252</v>
      </c>
      <c r="O127" s="7" t="s">
        <v>175</v>
      </c>
      <c r="P127" s="8">
        <v>44546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1377.44</v>
      </c>
      <c r="W127" s="7">
        <v>593.95000000000005</v>
      </c>
      <c r="X127" s="7">
        <v>548.5</v>
      </c>
      <c r="Y127" s="7">
        <v>0</v>
      </c>
      <c r="Z127" s="7">
        <v>234.99</v>
      </c>
    </row>
    <row r="128" spans="1:26" x14ac:dyDescent="0.35">
      <c r="A128" s="7" t="s">
        <v>27</v>
      </c>
      <c r="B128" s="7" t="s">
        <v>43</v>
      </c>
      <c r="C128" s="7" t="s">
        <v>50</v>
      </c>
      <c r="D128" s="7" t="s">
        <v>59</v>
      </c>
      <c r="E128" s="7" t="s">
        <v>29</v>
      </c>
      <c r="F128" s="7" t="s">
        <v>164</v>
      </c>
      <c r="G128" s="7">
        <v>2021</v>
      </c>
      <c r="H128" s="7" t="str">
        <f>CONCATENATE("14210316684")</f>
        <v>14210316684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CONCATENATE("13 13.1 4a")</f>
        <v>13 13.1 4a</v>
      </c>
      <c r="M128" s="7" t="str">
        <f>CONCATENATE("SLQFNC53L25D691O")</f>
        <v>SLQFNC53L25D691O</v>
      </c>
      <c r="N128" s="7" t="s">
        <v>253</v>
      </c>
      <c r="O128" s="7" t="s">
        <v>175</v>
      </c>
      <c r="P128" s="8">
        <v>44546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7">
        <v>123.39</v>
      </c>
      <c r="W128" s="7">
        <v>53.21</v>
      </c>
      <c r="X128" s="7">
        <v>49.13</v>
      </c>
      <c r="Y128" s="7">
        <v>0</v>
      </c>
      <c r="Z128" s="7">
        <v>21.05</v>
      </c>
    </row>
    <row r="129" spans="1:26" ht="17.5" x14ac:dyDescent="0.35">
      <c r="A129" s="7" t="s">
        <v>27</v>
      </c>
      <c r="B129" s="7" t="s">
        <v>43</v>
      </c>
      <c r="C129" s="7" t="s">
        <v>50</v>
      </c>
      <c r="D129" s="7" t="s">
        <v>55</v>
      </c>
      <c r="E129" s="7" t="s">
        <v>38</v>
      </c>
      <c r="F129" s="7" t="s">
        <v>78</v>
      </c>
      <c r="G129" s="7">
        <v>2021</v>
      </c>
      <c r="H129" s="7" t="str">
        <f>CONCATENATE("14210954492")</f>
        <v>14210954492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CONCATENATE("13 13.1 4a")</f>
        <v>13 13.1 4a</v>
      </c>
      <c r="M129" s="7" t="str">
        <f>CONCATENATE("00328980412")</f>
        <v>00328980412</v>
      </c>
      <c r="N129" s="7" t="s">
        <v>254</v>
      </c>
      <c r="O129" s="7" t="s">
        <v>175</v>
      </c>
      <c r="P129" s="8">
        <v>44546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9000</v>
      </c>
      <c r="W129" s="9">
        <v>3880.8</v>
      </c>
      <c r="X129" s="9">
        <v>3583.8</v>
      </c>
      <c r="Y129" s="7">
        <v>0</v>
      </c>
      <c r="Z129" s="9">
        <v>1535.4</v>
      </c>
    </row>
    <row r="130" spans="1:26" x14ac:dyDescent="0.35">
      <c r="A130" s="7" t="s">
        <v>27</v>
      </c>
      <c r="B130" s="7" t="s">
        <v>43</v>
      </c>
      <c r="C130" s="7" t="s">
        <v>50</v>
      </c>
      <c r="D130" s="7" t="s">
        <v>55</v>
      </c>
      <c r="E130" s="7" t="s">
        <v>38</v>
      </c>
      <c r="F130" s="7" t="s">
        <v>78</v>
      </c>
      <c r="G130" s="7">
        <v>2021</v>
      </c>
      <c r="H130" s="7" t="str">
        <f>CONCATENATE("14210859543")</f>
        <v>14210859543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CONCATENATE("13 13.1 4a")</f>
        <v>13 13.1 4a</v>
      </c>
      <c r="M130" s="7" t="str">
        <f>CONCATENATE("82004090419")</f>
        <v>82004090419</v>
      </c>
      <c r="N130" s="7" t="s">
        <v>255</v>
      </c>
      <c r="O130" s="7" t="s">
        <v>175</v>
      </c>
      <c r="P130" s="8">
        <v>44546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9000</v>
      </c>
      <c r="W130" s="9">
        <v>3880.8</v>
      </c>
      <c r="X130" s="9">
        <v>3583.8</v>
      </c>
      <c r="Y130" s="7">
        <v>0</v>
      </c>
      <c r="Z130" s="9">
        <v>1535.4</v>
      </c>
    </row>
    <row r="131" spans="1:26" x14ac:dyDescent="0.35">
      <c r="A131" s="7" t="s">
        <v>27</v>
      </c>
      <c r="B131" s="7" t="s">
        <v>43</v>
      </c>
      <c r="C131" s="7" t="s">
        <v>50</v>
      </c>
      <c r="D131" s="7" t="s">
        <v>55</v>
      </c>
      <c r="E131" s="7" t="s">
        <v>29</v>
      </c>
      <c r="F131" s="7" t="s">
        <v>256</v>
      </c>
      <c r="G131" s="7">
        <v>2021</v>
      </c>
      <c r="H131" s="7" t="str">
        <f>CONCATENATE("14210175411")</f>
        <v>14210175411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CONCATENATE("13 13.1 4a")</f>
        <v>13 13.1 4a</v>
      </c>
      <c r="M131" s="7" t="str">
        <f>CONCATENATE("PRLFRZ61S25A327B")</f>
        <v>PRLFRZ61S25A327B</v>
      </c>
      <c r="N131" s="7" t="s">
        <v>257</v>
      </c>
      <c r="O131" s="7" t="s">
        <v>175</v>
      </c>
      <c r="P131" s="8">
        <v>44546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7">
        <v>527.5</v>
      </c>
      <c r="W131" s="7">
        <v>227.46</v>
      </c>
      <c r="X131" s="7">
        <v>210.05</v>
      </c>
      <c r="Y131" s="7">
        <v>0</v>
      </c>
      <c r="Z131" s="7">
        <v>89.99</v>
      </c>
    </row>
    <row r="132" spans="1:26" x14ac:dyDescent="0.35">
      <c r="A132" s="7" t="s">
        <v>27</v>
      </c>
      <c r="B132" s="7" t="s">
        <v>43</v>
      </c>
      <c r="C132" s="7" t="s">
        <v>50</v>
      </c>
      <c r="D132" s="7" t="s">
        <v>55</v>
      </c>
      <c r="E132" s="7" t="s">
        <v>29</v>
      </c>
      <c r="F132" s="7" t="s">
        <v>91</v>
      </c>
      <c r="G132" s="7">
        <v>2021</v>
      </c>
      <c r="H132" s="7" t="str">
        <f>CONCATENATE("14210049962")</f>
        <v>14210049962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CONCATENATE("13 13.1 4a")</f>
        <v>13 13.1 4a</v>
      </c>
      <c r="M132" s="7" t="str">
        <f>CONCATENATE("SLTLCU89R13D749G")</f>
        <v>SLTLCU89R13D749G</v>
      </c>
      <c r="N132" s="7" t="s">
        <v>258</v>
      </c>
      <c r="O132" s="7" t="s">
        <v>175</v>
      </c>
      <c r="P132" s="8">
        <v>44546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3586.4</v>
      </c>
      <c r="W132" s="9">
        <v>1546.46</v>
      </c>
      <c r="X132" s="9">
        <v>1428.1</v>
      </c>
      <c r="Y132" s="7">
        <v>0</v>
      </c>
      <c r="Z132" s="7">
        <v>611.84</v>
      </c>
    </row>
    <row r="133" spans="1:26" x14ac:dyDescent="0.35">
      <c r="A133" s="7" t="s">
        <v>27</v>
      </c>
      <c r="B133" s="7" t="s">
        <v>43</v>
      </c>
      <c r="C133" s="7" t="s">
        <v>50</v>
      </c>
      <c r="D133" s="7" t="s">
        <v>59</v>
      </c>
      <c r="E133" s="7" t="s">
        <v>29</v>
      </c>
      <c r="F133" s="7" t="s">
        <v>205</v>
      </c>
      <c r="G133" s="7">
        <v>2021</v>
      </c>
      <c r="H133" s="7" t="str">
        <f>CONCATENATE("14210165701")</f>
        <v>14210165701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CONCATENATE("13 13.1 4a")</f>
        <v>13 13.1 4a</v>
      </c>
      <c r="M133" s="7" t="str">
        <f>CONCATENATE("VRGMNN27R70G289Z")</f>
        <v>VRGMNN27R70G289Z</v>
      </c>
      <c r="N133" s="7" t="s">
        <v>259</v>
      </c>
      <c r="O133" s="7" t="s">
        <v>175</v>
      </c>
      <c r="P133" s="8">
        <v>44546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9">
        <v>2097.92</v>
      </c>
      <c r="W133" s="7">
        <v>904.62</v>
      </c>
      <c r="X133" s="7">
        <v>835.39</v>
      </c>
      <c r="Y133" s="7">
        <v>0</v>
      </c>
      <c r="Z133" s="7">
        <v>357.91</v>
      </c>
    </row>
    <row r="134" spans="1:26" x14ac:dyDescent="0.35">
      <c r="A134" s="7" t="s">
        <v>27</v>
      </c>
      <c r="B134" s="7" t="s">
        <v>43</v>
      </c>
      <c r="C134" s="7" t="s">
        <v>50</v>
      </c>
      <c r="D134" s="7" t="s">
        <v>55</v>
      </c>
      <c r="E134" s="7" t="s">
        <v>29</v>
      </c>
      <c r="F134" s="7" t="s">
        <v>230</v>
      </c>
      <c r="G134" s="7">
        <v>2021</v>
      </c>
      <c r="H134" s="7" t="str">
        <f>CONCATENATE("14210017795")</f>
        <v>14210017795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CONCATENATE("13 13.1 4a")</f>
        <v>13 13.1 4a</v>
      </c>
      <c r="M134" s="7" t="str">
        <f>CONCATENATE("02607030414")</f>
        <v>02607030414</v>
      </c>
      <c r="N134" s="7" t="s">
        <v>260</v>
      </c>
      <c r="O134" s="7" t="s">
        <v>175</v>
      </c>
      <c r="P134" s="8">
        <v>44546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7">
        <v>480.7</v>
      </c>
      <c r="W134" s="7">
        <v>207.28</v>
      </c>
      <c r="X134" s="7">
        <v>191.41</v>
      </c>
      <c r="Y134" s="7">
        <v>0</v>
      </c>
      <c r="Z134" s="7">
        <v>82.01</v>
      </c>
    </row>
    <row r="135" spans="1:26" x14ac:dyDescent="0.35">
      <c r="A135" s="7" t="s">
        <v>27</v>
      </c>
      <c r="B135" s="7" t="s">
        <v>43</v>
      </c>
      <c r="C135" s="7" t="s">
        <v>50</v>
      </c>
      <c r="D135" s="7" t="s">
        <v>55</v>
      </c>
      <c r="E135" s="7" t="s">
        <v>41</v>
      </c>
      <c r="F135" s="7" t="s">
        <v>73</v>
      </c>
      <c r="G135" s="7">
        <v>2021</v>
      </c>
      <c r="H135" s="7" t="str">
        <f>CONCATENATE("14210325180")</f>
        <v>14210325180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CONCATENATE("13 13.1 4a")</f>
        <v>13 13.1 4a</v>
      </c>
      <c r="M135" s="7" t="str">
        <f>CONCATENATE("01496630417")</f>
        <v>01496630417</v>
      </c>
      <c r="N135" s="7" t="s">
        <v>261</v>
      </c>
      <c r="O135" s="7" t="s">
        <v>175</v>
      </c>
      <c r="P135" s="8">
        <v>44546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7">
        <v>321.93</v>
      </c>
      <c r="W135" s="7">
        <v>138.82</v>
      </c>
      <c r="X135" s="7">
        <v>128.19</v>
      </c>
      <c r="Y135" s="7">
        <v>0</v>
      </c>
      <c r="Z135" s="7">
        <v>54.92</v>
      </c>
    </row>
    <row r="136" spans="1:26" x14ac:dyDescent="0.35">
      <c r="A136" s="7" t="s">
        <v>27</v>
      </c>
      <c r="B136" s="7" t="s">
        <v>43</v>
      </c>
      <c r="C136" s="7" t="s">
        <v>50</v>
      </c>
      <c r="D136" s="7" t="s">
        <v>55</v>
      </c>
      <c r="E136" s="7" t="s">
        <v>41</v>
      </c>
      <c r="F136" s="7" t="s">
        <v>73</v>
      </c>
      <c r="G136" s="7">
        <v>2021</v>
      </c>
      <c r="H136" s="7" t="str">
        <f>CONCATENATE("14210179306")</f>
        <v>14210179306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CONCATENATE("13 13.1 4a")</f>
        <v>13 13.1 4a</v>
      </c>
      <c r="M136" s="7" t="str">
        <f>CONCATENATE("02288450410")</f>
        <v>02288450410</v>
      </c>
      <c r="N136" s="7" t="s">
        <v>262</v>
      </c>
      <c r="O136" s="7" t="s">
        <v>175</v>
      </c>
      <c r="P136" s="8">
        <v>44546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6396.17</v>
      </c>
      <c r="W136" s="9">
        <v>2758.03</v>
      </c>
      <c r="X136" s="9">
        <v>2546.9499999999998</v>
      </c>
      <c r="Y136" s="7">
        <v>0</v>
      </c>
      <c r="Z136" s="9">
        <v>1091.19</v>
      </c>
    </row>
    <row r="137" spans="1:26" x14ac:dyDescent="0.35">
      <c r="A137" s="7" t="s">
        <v>27</v>
      </c>
      <c r="B137" s="7" t="s">
        <v>43</v>
      </c>
      <c r="C137" s="7" t="s">
        <v>50</v>
      </c>
      <c r="D137" s="7" t="s">
        <v>59</v>
      </c>
      <c r="E137" s="7" t="s">
        <v>42</v>
      </c>
      <c r="F137" s="7" t="s">
        <v>42</v>
      </c>
      <c r="G137" s="7">
        <v>2021</v>
      </c>
      <c r="H137" s="7" t="str">
        <f>CONCATENATE("14241202275")</f>
        <v>14241202275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CONCATENATE("11 11.2 4b")</f>
        <v>11 11.2 4b</v>
      </c>
      <c r="M137" s="7" t="str">
        <f>CONCATENATE("01517310445")</f>
        <v>01517310445</v>
      </c>
      <c r="N137" s="7" t="s">
        <v>263</v>
      </c>
      <c r="O137" s="7" t="s">
        <v>264</v>
      </c>
      <c r="P137" s="8">
        <v>44540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83898.66</v>
      </c>
      <c r="W137" s="9">
        <v>36177.1</v>
      </c>
      <c r="X137" s="9">
        <v>33408.449999999997</v>
      </c>
      <c r="Y137" s="7">
        <v>0</v>
      </c>
      <c r="Z137" s="9">
        <v>14313.11</v>
      </c>
    </row>
    <row r="138" spans="1:26" ht="17.5" x14ac:dyDescent="0.35">
      <c r="A138" s="7" t="s">
        <v>27</v>
      </c>
      <c r="B138" s="7" t="s">
        <v>43</v>
      </c>
      <c r="C138" s="7" t="s">
        <v>50</v>
      </c>
      <c r="D138" s="7" t="s">
        <v>59</v>
      </c>
      <c r="E138" s="7" t="s">
        <v>42</v>
      </c>
      <c r="F138" s="7" t="s">
        <v>42</v>
      </c>
      <c r="G138" s="7">
        <v>2021</v>
      </c>
      <c r="H138" s="7" t="str">
        <f>CONCATENATE("14240735945")</f>
        <v>14240735945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CONCATENATE("11 11.2 4b")</f>
        <v>11 11.2 4b</v>
      </c>
      <c r="M138" s="7" t="str">
        <f>CONCATENATE("01511110445")</f>
        <v>01511110445</v>
      </c>
      <c r="N138" s="7" t="s">
        <v>265</v>
      </c>
      <c r="O138" s="7" t="s">
        <v>264</v>
      </c>
      <c r="P138" s="8">
        <v>44540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19810.73</v>
      </c>
      <c r="W138" s="9">
        <v>8542.39</v>
      </c>
      <c r="X138" s="9">
        <v>7888.63</v>
      </c>
      <c r="Y138" s="7">
        <v>0</v>
      </c>
      <c r="Z138" s="9">
        <v>3379.71</v>
      </c>
    </row>
    <row r="139" spans="1:26" x14ac:dyDescent="0.35">
      <c r="A139" s="7" t="s">
        <v>27</v>
      </c>
      <c r="B139" s="7" t="s">
        <v>43</v>
      </c>
      <c r="C139" s="7" t="s">
        <v>50</v>
      </c>
      <c r="D139" s="7" t="s">
        <v>59</v>
      </c>
      <c r="E139" s="7" t="s">
        <v>42</v>
      </c>
      <c r="F139" s="7" t="s">
        <v>42</v>
      </c>
      <c r="G139" s="7">
        <v>2018</v>
      </c>
      <c r="H139" s="7" t="str">
        <f>CONCATENATE("84240887475")</f>
        <v>84240887475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CONCATENATE("11 11.2 4b")</f>
        <v>11 11.2 4b</v>
      </c>
      <c r="M139" s="7" t="str">
        <f>CONCATENATE("02290580444")</f>
        <v>02290580444</v>
      </c>
      <c r="N139" s="7" t="s">
        <v>266</v>
      </c>
      <c r="O139" s="7" t="s">
        <v>264</v>
      </c>
      <c r="P139" s="8">
        <v>44540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7">
        <v>445.13</v>
      </c>
      <c r="W139" s="7">
        <v>191.94</v>
      </c>
      <c r="X139" s="7">
        <v>177.25</v>
      </c>
      <c r="Y139" s="7">
        <v>0</v>
      </c>
      <c r="Z139" s="7">
        <v>75.94</v>
      </c>
    </row>
    <row r="140" spans="1:26" x14ac:dyDescent="0.35">
      <c r="A140" s="7" t="s">
        <v>27</v>
      </c>
      <c r="B140" s="7" t="s">
        <v>28</v>
      </c>
      <c r="C140" s="7" t="s">
        <v>50</v>
      </c>
      <c r="D140" s="7" t="s">
        <v>55</v>
      </c>
      <c r="E140" s="7" t="s">
        <v>38</v>
      </c>
      <c r="F140" s="7" t="s">
        <v>178</v>
      </c>
      <c r="G140" s="7">
        <v>2017</v>
      </c>
      <c r="H140" s="7" t="str">
        <f>CONCATENATE("14270341705")</f>
        <v>14270341705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CONCATENATE("21 21.1 2a")</f>
        <v>21 21.1 2a</v>
      </c>
      <c r="M140" s="7" t="str">
        <f>CONCATENATE("GZZMRZ62E21D749Z")</f>
        <v>GZZMRZ62E21D749Z</v>
      </c>
      <c r="N140" s="7" t="s">
        <v>267</v>
      </c>
      <c r="O140" s="7" t="s">
        <v>268</v>
      </c>
      <c r="P140" s="8">
        <v>44540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4201.3</v>
      </c>
      <c r="W140" s="9">
        <v>1811.6</v>
      </c>
      <c r="X140" s="9">
        <v>1672.96</v>
      </c>
      <c r="Y140" s="7">
        <v>0</v>
      </c>
      <c r="Z140" s="7">
        <v>716.74</v>
      </c>
    </row>
    <row r="141" spans="1:26" x14ac:dyDescent="0.35">
      <c r="A141" s="7" t="s">
        <v>27</v>
      </c>
      <c r="B141" s="7" t="s">
        <v>43</v>
      </c>
      <c r="C141" s="7" t="s">
        <v>50</v>
      </c>
      <c r="D141" s="7" t="s">
        <v>59</v>
      </c>
      <c r="E141" s="7" t="s">
        <v>38</v>
      </c>
      <c r="F141" s="7" t="s">
        <v>269</v>
      </c>
      <c r="G141" s="7">
        <v>2021</v>
      </c>
      <c r="H141" s="7" t="str">
        <f>CONCATENATE("14240913799")</f>
        <v>14240913799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CONCATENATE("11 11.2 4b")</f>
        <v>11 11.2 4b</v>
      </c>
      <c r="M141" s="7" t="str">
        <f>CONCATENATE("02451910448")</f>
        <v>02451910448</v>
      </c>
      <c r="N141" s="7" t="s">
        <v>270</v>
      </c>
      <c r="O141" s="7" t="s">
        <v>166</v>
      </c>
      <c r="P141" s="8">
        <v>44546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9849.86</v>
      </c>
      <c r="W141" s="9">
        <v>4247.26</v>
      </c>
      <c r="X141" s="9">
        <v>3922.21</v>
      </c>
      <c r="Y141" s="7">
        <v>0</v>
      </c>
      <c r="Z141" s="9">
        <v>1680.39</v>
      </c>
    </row>
    <row r="142" spans="1:26" x14ac:dyDescent="0.35">
      <c r="A142" s="7" t="s">
        <v>27</v>
      </c>
      <c r="B142" s="7" t="s">
        <v>43</v>
      </c>
      <c r="C142" s="7" t="s">
        <v>50</v>
      </c>
      <c r="D142" s="7" t="s">
        <v>59</v>
      </c>
      <c r="E142" s="7" t="s">
        <v>38</v>
      </c>
      <c r="F142" s="7" t="s">
        <v>269</v>
      </c>
      <c r="G142" s="7">
        <v>2021</v>
      </c>
      <c r="H142" s="7" t="str">
        <f>CONCATENATE("14210858305")</f>
        <v>14210858305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CONCATENATE("13 13.1 4a")</f>
        <v>13 13.1 4a</v>
      </c>
      <c r="M142" s="7" t="str">
        <f>CONCATENATE("02451910448")</f>
        <v>02451910448</v>
      </c>
      <c r="N142" s="7" t="s">
        <v>270</v>
      </c>
      <c r="O142" s="7" t="s">
        <v>175</v>
      </c>
      <c r="P142" s="8">
        <v>44546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8730</v>
      </c>
      <c r="W142" s="9">
        <v>3764.38</v>
      </c>
      <c r="X142" s="9">
        <v>3476.29</v>
      </c>
      <c r="Y142" s="7">
        <v>0</v>
      </c>
      <c r="Z142" s="9">
        <v>1489.33</v>
      </c>
    </row>
    <row r="143" spans="1:26" x14ac:dyDescent="0.35">
      <c r="A143" s="7" t="s">
        <v>27</v>
      </c>
      <c r="B143" s="7" t="s">
        <v>43</v>
      </c>
      <c r="C143" s="7" t="s">
        <v>50</v>
      </c>
      <c r="D143" s="7" t="s">
        <v>59</v>
      </c>
      <c r="E143" s="7" t="s">
        <v>36</v>
      </c>
      <c r="F143" s="7" t="s">
        <v>202</v>
      </c>
      <c r="G143" s="7">
        <v>2021</v>
      </c>
      <c r="H143" s="7" t="str">
        <f>CONCATENATE("14240396995")</f>
        <v>14240396995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CONCATENATE("10 10.1 4a")</f>
        <v>10 10.1 4a</v>
      </c>
      <c r="M143" s="7" t="str">
        <f>CONCATENATE("01302930449")</f>
        <v>01302930449</v>
      </c>
      <c r="N143" s="7" t="s">
        <v>271</v>
      </c>
      <c r="O143" s="7" t="s">
        <v>204</v>
      </c>
      <c r="P143" s="8">
        <v>44544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7">
        <v>700.88</v>
      </c>
      <c r="W143" s="7">
        <v>302.22000000000003</v>
      </c>
      <c r="X143" s="7">
        <v>279.08999999999997</v>
      </c>
      <c r="Y143" s="7">
        <v>0</v>
      </c>
      <c r="Z143" s="7">
        <v>119.57</v>
      </c>
    </row>
    <row r="144" spans="1:26" x14ac:dyDescent="0.35">
      <c r="A144" s="7" t="s">
        <v>27</v>
      </c>
      <c r="B144" s="7" t="s">
        <v>43</v>
      </c>
      <c r="C144" s="7" t="s">
        <v>50</v>
      </c>
      <c r="D144" s="7" t="s">
        <v>59</v>
      </c>
      <c r="E144" s="7" t="s">
        <v>29</v>
      </c>
      <c r="F144" s="7" t="s">
        <v>60</v>
      </c>
      <c r="G144" s="7">
        <v>2021</v>
      </c>
      <c r="H144" s="7" t="str">
        <f>CONCATENATE("14241081604")</f>
        <v>14241081604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CONCATENATE("10 10.1 4a")</f>
        <v>10 10.1 4a</v>
      </c>
      <c r="M144" s="7" t="str">
        <f>CONCATENATE("MZZGNN67R10D542G")</f>
        <v>MZZGNN67R10D542G</v>
      </c>
      <c r="N144" s="7" t="s">
        <v>272</v>
      </c>
      <c r="O144" s="7" t="s">
        <v>204</v>
      </c>
      <c r="P144" s="8">
        <v>44544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3021.44</v>
      </c>
      <c r="W144" s="9">
        <v>1302.8399999999999</v>
      </c>
      <c r="X144" s="9">
        <v>1203.1400000000001</v>
      </c>
      <c r="Y144" s="7">
        <v>0</v>
      </c>
      <c r="Z144" s="7">
        <v>515.46</v>
      </c>
    </row>
    <row r="145" spans="1:26" x14ac:dyDescent="0.35">
      <c r="A145" s="7" t="s">
        <v>27</v>
      </c>
      <c r="B145" s="7" t="s">
        <v>43</v>
      </c>
      <c r="C145" s="7" t="s">
        <v>50</v>
      </c>
      <c r="D145" s="7" t="s">
        <v>59</v>
      </c>
      <c r="E145" s="7" t="s">
        <v>37</v>
      </c>
      <c r="F145" s="7" t="s">
        <v>273</v>
      </c>
      <c r="G145" s="7">
        <v>2021</v>
      </c>
      <c r="H145" s="7" t="str">
        <f>CONCATENATE("14240946203")</f>
        <v>14240946203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CONCATENATE("GSPSDR73D46A462O")</f>
        <v>GSPSDR73D46A462O</v>
      </c>
      <c r="N145" s="7" t="s">
        <v>274</v>
      </c>
      <c r="O145" s="7" t="s">
        <v>166</v>
      </c>
      <c r="P145" s="8">
        <v>44546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9">
        <v>5529.17</v>
      </c>
      <c r="W145" s="9">
        <v>2384.1799999999998</v>
      </c>
      <c r="X145" s="9">
        <v>2201.7199999999998</v>
      </c>
      <c r="Y145" s="7">
        <v>0</v>
      </c>
      <c r="Z145" s="7">
        <v>943.27</v>
      </c>
    </row>
    <row r="146" spans="1:26" x14ac:dyDescent="0.35">
      <c r="A146" s="7" t="s">
        <v>27</v>
      </c>
      <c r="B146" s="7" t="s">
        <v>43</v>
      </c>
      <c r="C146" s="7" t="s">
        <v>50</v>
      </c>
      <c r="D146" s="7" t="s">
        <v>59</v>
      </c>
      <c r="E146" s="7" t="s">
        <v>38</v>
      </c>
      <c r="F146" s="7" t="s">
        <v>269</v>
      </c>
      <c r="G146" s="7">
        <v>2021</v>
      </c>
      <c r="H146" s="7" t="str">
        <f>CONCATENATE("14241362053")</f>
        <v>14241362053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CONCATENATE("10 10.1 4a")</f>
        <v>10 10.1 4a</v>
      </c>
      <c r="M146" s="7" t="str">
        <f>CONCATENATE("14446391006")</f>
        <v>14446391006</v>
      </c>
      <c r="N146" s="7" t="s">
        <v>275</v>
      </c>
      <c r="O146" s="7" t="s">
        <v>204</v>
      </c>
      <c r="P146" s="8">
        <v>44544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1640.88</v>
      </c>
      <c r="W146" s="7">
        <v>707.55</v>
      </c>
      <c r="X146" s="7">
        <v>653.4</v>
      </c>
      <c r="Y146" s="7">
        <v>0</v>
      </c>
      <c r="Z146" s="7">
        <v>279.93</v>
      </c>
    </row>
    <row r="147" spans="1:26" x14ac:dyDescent="0.35">
      <c r="A147" s="7" t="s">
        <v>27</v>
      </c>
      <c r="B147" s="7" t="s">
        <v>43</v>
      </c>
      <c r="C147" s="7" t="s">
        <v>50</v>
      </c>
      <c r="D147" s="7" t="s">
        <v>95</v>
      </c>
      <c r="E147" s="7" t="s">
        <v>41</v>
      </c>
      <c r="F147" s="7" t="s">
        <v>276</v>
      </c>
      <c r="G147" s="7">
        <v>2021</v>
      </c>
      <c r="H147" s="7" t="str">
        <f>CONCATENATE("14241182832")</f>
        <v>14241182832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CONCATENATE("10 10.1 4a")</f>
        <v>10 10.1 4a</v>
      </c>
      <c r="M147" s="7" t="str">
        <f>CONCATENATE("RTNFNC83R25I156R")</f>
        <v>RTNFNC83R25I156R</v>
      </c>
      <c r="N147" s="7" t="s">
        <v>277</v>
      </c>
      <c r="O147" s="7" t="s">
        <v>219</v>
      </c>
      <c r="P147" s="8">
        <v>44545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9">
        <v>1245.3599999999999</v>
      </c>
      <c r="W147" s="7">
        <v>537</v>
      </c>
      <c r="X147" s="7">
        <v>495.9</v>
      </c>
      <c r="Y147" s="7">
        <v>0</v>
      </c>
      <c r="Z147" s="7">
        <v>212.46</v>
      </c>
    </row>
    <row r="148" spans="1:26" x14ac:dyDescent="0.35">
      <c r="A148" s="7" t="s">
        <v>27</v>
      </c>
      <c r="B148" s="7" t="s">
        <v>43</v>
      </c>
      <c r="C148" s="7" t="s">
        <v>50</v>
      </c>
      <c r="D148" s="7" t="s">
        <v>59</v>
      </c>
      <c r="E148" s="7" t="s">
        <v>29</v>
      </c>
      <c r="F148" s="7" t="s">
        <v>60</v>
      </c>
      <c r="G148" s="7">
        <v>2021</v>
      </c>
      <c r="H148" s="7" t="str">
        <f>CONCATENATE("14241081877")</f>
        <v>14241081877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CONCATENATE("10 10.1 4a")</f>
        <v>10 10.1 4a</v>
      </c>
      <c r="M148" s="7" t="str">
        <f>CONCATENATE("PLLGPP53R02F536D")</f>
        <v>PLLGPP53R02F536D</v>
      </c>
      <c r="N148" s="7" t="s">
        <v>278</v>
      </c>
      <c r="O148" s="7" t="s">
        <v>204</v>
      </c>
      <c r="P148" s="8">
        <v>44544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2171</v>
      </c>
      <c r="W148" s="7">
        <v>936.14</v>
      </c>
      <c r="X148" s="7">
        <v>864.49</v>
      </c>
      <c r="Y148" s="7">
        <v>0</v>
      </c>
      <c r="Z148" s="7">
        <v>370.37</v>
      </c>
    </row>
    <row r="149" spans="1:26" x14ac:dyDescent="0.35">
      <c r="A149" s="7" t="s">
        <v>27</v>
      </c>
      <c r="B149" s="7" t="s">
        <v>43</v>
      </c>
      <c r="C149" s="7" t="s">
        <v>50</v>
      </c>
      <c r="D149" s="7" t="s">
        <v>95</v>
      </c>
      <c r="E149" s="7" t="s">
        <v>38</v>
      </c>
      <c r="F149" s="7" t="s">
        <v>279</v>
      </c>
      <c r="G149" s="7">
        <v>2021</v>
      </c>
      <c r="H149" s="7" t="str">
        <f>CONCATENATE("14241130963")</f>
        <v>14241130963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CONCATENATE("14 14.1 3a")</f>
        <v>14 14.1 3a</v>
      </c>
      <c r="M149" s="7" t="str">
        <f>CONCATENATE("MRBMLL71M55G436T")</f>
        <v>MRBMLL71M55G436T</v>
      </c>
      <c r="N149" s="7" t="s">
        <v>280</v>
      </c>
      <c r="O149" s="7" t="s">
        <v>168</v>
      </c>
      <c r="P149" s="8">
        <v>44543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9">
        <v>4420</v>
      </c>
      <c r="W149" s="9">
        <v>1905.9</v>
      </c>
      <c r="X149" s="9">
        <v>1760.04</v>
      </c>
      <c r="Y149" s="7">
        <v>0</v>
      </c>
      <c r="Z149" s="7">
        <v>754.06</v>
      </c>
    </row>
    <row r="150" spans="1:26" x14ac:dyDescent="0.35">
      <c r="A150" s="7" t="s">
        <v>27</v>
      </c>
      <c r="B150" s="7" t="s">
        <v>43</v>
      </c>
      <c r="C150" s="7" t="s">
        <v>50</v>
      </c>
      <c r="D150" s="7" t="s">
        <v>95</v>
      </c>
      <c r="E150" s="7" t="s">
        <v>29</v>
      </c>
      <c r="F150" s="7" t="s">
        <v>235</v>
      </c>
      <c r="G150" s="7">
        <v>2021</v>
      </c>
      <c r="H150" s="7" t="str">
        <f>CONCATENATE("14241390526")</f>
        <v>14241390526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CONCATENATE("14 14.1 3a")</f>
        <v>14 14.1 3a</v>
      </c>
      <c r="M150" s="7" t="str">
        <f>CONCATENATE("CCLGNN42C21C704S")</f>
        <v>CCLGNN42C21C704S</v>
      </c>
      <c r="N150" s="7" t="s">
        <v>281</v>
      </c>
      <c r="O150" s="7" t="s">
        <v>168</v>
      </c>
      <c r="P150" s="8">
        <v>44543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9">
        <v>6042</v>
      </c>
      <c r="W150" s="9">
        <v>2605.31</v>
      </c>
      <c r="X150" s="9">
        <v>2405.92</v>
      </c>
      <c r="Y150" s="7">
        <v>0</v>
      </c>
      <c r="Z150" s="9">
        <v>1030.77</v>
      </c>
    </row>
    <row r="151" spans="1:26" x14ac:dyDescent="0.35">
      <c r="A151" s="7" t="s">
        <v>27</v>
      </c>
      <c r="B151" s="7" t="s">
        <v>43</v>
      </c>
      <c r="C151" s="7" t="s">
        <v>50</v>
      </c>
      <c r="D151" s="7" t="s">
        <v>59</v>
      </c>
      <c r="E151" s="7" t="s">
        <v>42</v>
      </c>
      <c r="F151" s="7" t="s">
        <v>42</v>
      </c>
      <c r="G151" s="7">
        <v>2021</v>
      </c>
      <c r="H151" s="7" t="str">
        <f>CONCATENATE("14211217600")</f>
        <v>14211217600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CONCATENATE("13 13.1 4a")</f>
        <v>13 13.1 4a</v>
      </c>
      <c r="M151" s="7" t="str">
        <f>CONCATENATE("PMPPRI72P58H390P")</f>
        <v>PMPPRI72P58H390P</v>
      </c>
      <c r="N151" s="7" t="s">
        <v>282</v>
      </c>
      <c r="O151" s="7" t="s">
        <v>175</v>
      </c>
      <c r="P151" s="8">
        <v>44546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7">
        <v>451.9</v>
      </c>
      <c r="W151" s="7">
        <v>194.86</v>
      </c>
      <c r="X151" s="7">
        <v>179.95</v>
      </c>
      <c r="Y151" s="7">
        <v>0</v>
      </c>
      <c r="Z151" s="7">
        <v>77.09</v>
      </c>
    </row>
    <row r="152" spans="1:26" x14ac:dyDescent="0.35">
      <c r="A152" s="7" t="s">
        <v>27</v>
      </c>
      <c r="B152" s="7" t="s">
        <v>43</v>
      </c>
      <c r="C152" s="7" t="s">
        <v>50</v>
      </c>
      <c r="D152" s="7" t="s">
        <v>95</v>
      </c>
      <c r="E152" s="7" t="s">
        <v>41</v>
      </c>
      <c r="F152" s="7" t="s">
        <v>142</v>
      </c>
      <c r="G152" s="7">
        <v>2021</v>
      </c>
      <c r="H152" s="7" t="str">
        <f>CONCATENATE("14241267443")</f>
        <v>14241267443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CONCATENATE("10 10.1 4a")</f>
        <v>10 10.1 4a</v>
      </c>
      <c r="M152" s="7" t="str">
        <f>CONCATENATE("PRMJRU95S23I156U")</f>
        <v>PRMJRU95S23I156U</v>
      </c>
      <c r="N152" s="7" t="s">
        <v>283</v>
      </c>
      <c r="O152" s="7" t="s">
        <v>219</v>
      </c>
      <c r="P152" s="8">
        <v>44545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7">
        <v>604.16</v>
      </c>
      <c r="W152" s="7">
        <v>260.51</v>
      </c>
      <c r="X152" s="7">
        <v>240.58</v>
      </c>
      <c r="Y152" s="7">
        <v>0</v>
      </c>
      <c r="Z152" s="7">
        <v>103.07</v>
      </c>
    </row>
    <row r="153" spans="1:26" x14ac:dyDescent="0.35">
      <c r="A153" s="7" t="s">
        <v>27</v>
      </c>
      <c r="B153" s="7" t="s">
        <v>43</v>
      </c>
      <c r="C153" s="7" t="s">
        <v>50</v>
      </c>
      <c r="D153" s="7" t="s">
        <v>95</v>
      </c>
      <c r="E153" s="7" t="s">
        <v>39</v>
      </c>
      <c r="F153" s="7" t="s">
        <v>155</v>
      </c>
      <c r="G153" s="7">
        <v>2021</v>
      </c>
      <c r="H153" s="7" t="str">
        <f>CONCATENATE("14240745407")</f>
        <v>14240745407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CONCATENATE("14 14.1 3a")</f>
        <v>14 14.1 3a</v>
      </c>
      <c r="M153" s="7" t="str">
        <f>CONCATENATE("DLDPRD47L14L191X")</f>
        <v>DLDPRD47L14L191X</v>
      </c>
      <c r="N153" s="7" t="s">
        <v>284</v>
      </c>
      <c r="O153" s="7" t="s">
        <v>168</v>
      </c>
      <c r="P153" s="8">
        <v>44543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9">
        <v>17912.400000000001</v>
      </c>
      <c r="W153" s="9">
        <v>7723.83</v>
      </c>
      <c r="X153" s="9">
        <v>7132.72</v>
      </c>
      <c r="Y153" s="7">
        <v>0</v>
      </c>
      <c r="Z153" s="9">
        <v>3055.85</v>
      </c>
    </row>
    <row r="154" spans="1:26" x14ac:dyDescent="0.35">
      <c r="A154" s="7" t="s">
        <v>27</v>
      </c>
      <c r="B154" s="7" t="s">
        <v>43</v>
      </c>
      <c r="C154" s="7" t="s">
        <v>50</v>
      </c>
      <c r="D154" s="7" t="s">
        <v>95</v>
      </c>
      <c r="E154" s="7" t="s">
        <v>41</v>
      </c>
      <c r="F154" s="7" t="s">
        <v>142</v>
      </c>
      <c r="G154" s="7">
        <v>2021</v>
      </c>
      <c r="H154" s="7" t="str">
        <f>CONCATENATE("14240880246")</f>
        <v>14240880246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CONCATENATE("10 10.1 4a")</f>
        <v>10 10.1 4a</v>
      </c>
      <c r="M154" s="7" t="str">
        <f>CONCATENATE("CCCRNZ49T31I156H")</f>
        <v>CCCRNZ49T31I156H</v>
      </c>
      <c r="N154" s="7" t="s">
        <v>285</v>
      </c>
      <c r="O154" s="7" t="s">
        <v>219</v>
      </c>
      <c r="P154" s="8">
        <v>44545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7">
        <v>946.6</v>
      </c>
      <c r="W154" s="7">
        <v>408.17</v>
      </c>
      <c r="X154" s="7">
        <v>376.94</v>
      </c>
      <c r="Y154" s="7">
        <v>0</v>
      </c>
      <c r="Z154" s="7">
        <v>161.49</v>
      </c>
    </row>
    <row r="155" spans="1:26" x14ac:dyDescent="0.35">
      <c r="A155" s="7" t="s">
        <v>27</v>
      </c>
      <c r="B155" s="7" t="s">
        <v>43</v>
      </c>
      <c r="C155" s="7" t="s">
        <v>50</v>
      </c>
      <c r="D155" s="7" t="s">
        <v>59</v>
      </c>
      <c r="E155" s="7" t="s">
        <v>38</v>
      </c>
      <c r="F155" s="7" t="s">
        <v>279</v>
      </c>
      <c r="G155" s="7">
        <v>2021</v>
      </c>
      <c r="H155" s="7" t="str">
        <f>CONCATENATE("14240956194")</f>
        <v>14240956194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CONCATENATE("11 11.2 4b")</f>
        <v>11 11.2 4b</v>
      </c>
      <c r="M155" s="7" t="str">
        <f>CONCATENATE("BLLFBA73P10I315W")</f>
        <v>BLLFBA73P10I315W</v>
      </c>
      <c r="N155" s="7" t="s">
        <v>286</v>
      </c>
      <c r="O155" s="7" t="s">
        <v>264</v>
      </c>
      <c r="P155" s="8">
        <v>44540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7">
        <v>325.79000000000002</v>
      </c>
      <c r="W155" s="7">
        <v>140.47999999999999</v>
      </c>
      <c r="X155" s="7">
        <v>129.72999999999999</v>
      </c>
      <c r="Y155" s="7">
        <v>0</v>
      </c>
      <c r="Z155" s="7">
        <v>55.58</v>
      </c>
    </row>
    <row r="156" spans="1:26" x14ac:dyDescent="0.35">
      <c r="A156" s="7" t="s">
        <v>27</v>
      </c>
      <c r="B156" s="7" t="s">
        <v>43</v>
      </c>
      <c r="C156" s="7" t="s">
        <v>50</v>
      </c>
      <c r="D156" s="7" t="s">
        <v>59</v>
      </c>
      <c r="E156" s="7" t="s">
        <v>41</v>
      </c>
      <c r="F156" s="7" t="s">
        <v>142</v>
      </c>
      <c r="G156" s="7">
        <v>2021</v>
      </c>
      <c r="H156" s="7" t="str">
        <f>CONCATENATE("14241378018")</f>
        <v>14241378018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CONCATENATE("11 11.2 4b")</f>
        <v>11 11.2 4b</v>
      </c>
      <c r="M156" s="7" t="str">
        <f>CONCATENATE("CPRLNU73L69I324A")</f>
        <v>CPRLNU73L69I324A</v>
      </c>
      <c r="N156" s="7" t="s">
        <v>287</v>
      </c>
      <c r="O156" s="7" t="s">
        <v>166</v>
      </c>
      <c r="P156" s="8">
        <v>44546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9">
        <v>2249.16</v>
      </c>
      <c r="W156" s="7">
        <v>969.84</v>
      </c>
      <c r="X156" s="7">
        <v>895.62</v>
      </c>
      <c r="Y156" s="7">
        <v>0</v>
      </c>
      <c r="Z156" s="7">
        <v>383.7</v>
      </c>
    </row>
    <row r="157" spans="1:26" x14ac:dyDescent="0.35">
      <c r="A157" s="7" t="s">
        <v>27</v>
      </c>
      <c r="B157" s="7" t="s">
        <v>43</v>
      </c>
      <c r="C157" s="7" t="s">
        <v>50</v>
      </c>
      <c r="D157" s="7" t="s">
        <v>59</v>
      </c>
      <c r="E157" s="7" t="s">
        <v>29</v>
      </c>
      <c r="F157" s="7" t="s">
        <v>224</v>
      </c>
      <c r="G157" s="7">
        <v>2021</v>
      </c>
      <c r="H157" s="7" t="str">
        <f>CONCATENATE("14240322603")</f>
        <v>14240322603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CONCATENATE("11 11.2 4b")</f>
        <v>11 11.2 4b</v>
      </c>
      <c r="M157" s="7" t="str">
        <f>CONCATENATE("GRMMSM63P04E447U")</f>
        <v>GRMMSM63P04E447U</v>
      </c>
      <c r="N157" s="7" t="s">
        <v>288</v>
      </c>
      <c r="O157" s="7" t="s">
        <v>166</v>
      </c>
      <c r="P157" s="8">
        <v>44546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7">
        <v>997.32</v>
      </c>
      <c r="W157" s="7">
        <v>430.04</v>
      </c>
      <c r="X157" s="7">
        <v>397.13</v>
      </c>
      <c r="Y157" s="7">
        <v>0</v>
      </c>
      <c r="Z157" s="7">
        <v>170.15</v>
      </c>
    </row>
    <row r="158" spans="1:26" x14ac:dyDescent="0.35">
      <c r="A158" s="7" t="s">
        <v>27</v>
      </c>
      <c r="B158" s="7" t="s">
        <v>43</v>
      </c>
      <c r="C158" s="7" t="s">
        <v>50</v>
      </c>
      <c r="D158" s="7" t="s">
        <v>95</v>
      </c>
      <c r="E158" s="7" t="s">
        <v>41</v>
      </c>
      <c r="F158" s="7" t="s">
        <v>144</v>
      </c>
      <c r="G158" s="7">
        <v>2021</v>
      </c>
      <c r="H158" s="7" t="str">
        <f>CONCATENATE("14210666906")</f>
        <v>14210666906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CONCATENATE("13 13.1 4a")</f>
        <v>13 13.1 4a</v>
      </c>
      <c r="M158" s="7" t="str">
        <f>CONCATENATE("LTTGNB95T03B474H")</f>
        <v>LTTGNB95T03B474H</v>
      </c>
      <c r="N158" s="7" t="s">
        <v>289</v>
      </c>
      <c r="O158" s="7" t="s">
        <v>175</v>
      </c>
      <c r="P158" s="8">
        <v>44546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9000</v>
      </c>
      <c r="W158" s="9">
        <v>3880.8</v>
      </c>
      <c r="X158" s="9">
        <v>3583.8</v>
      </c>
      <c r="Y158" s="7">
        <v>0</v>
      </c>
      <c r="Z158" s="9">
        <v>1535.4</v>
      </c>
    </row>
    <row r="159" spans="1:26" x14ac:dyDescent="0.35">
      <c r="A159" s="7" t="s">
        <v>27</v>
      </c>
      <c r="B159" s="7" t="s">
        <v>43</v>
      </c>
      <c r="C159" s="7" t="s">
        <v>50</v>
      </c>
      <c r="D159" s="7" t="s">
        <v>95</v>
      </c>
      <c r="E159" s="7" t="s">
        <v>41</v>
      </c>
      <c r="F159" s="7" t="s">
        <v>144</v>
      </c>
      <c r="G159" s="7">
        <v>2021</v>
      </c>
      <c r="H159" s="7" t="str">
        <f>CONCATENATE("14210368172")</f>
        <v>14210368172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CONCATENATE("13 13.1 4a")</f>
        <v>13 13.1 4a</v>
      </c>
      <c r="M159" s="7" t="str">
        <f>CONCATENATE("PSCCRL59S10B474F")</f>
        <v>PSCCRL59S10B474F</v>
      </c>
      <c r="N159" s="7" t="s">
        <v>290</v>
      </c>
      <c r="O159" s="7" t="s">
        <v>175</v>
      </c>
      <c r="P159" s="8">
        <v>44546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3871.06</v>
      </c>
      <c r="W159" s="9">
        <v>1669.2</v>
      </c>
      <c r="X159" s="9">
        <v>1541.46</v>
      </c>
      <c r="Y159" s="7">
        <v>0</v>
      </c>
      <c r="Z159" s="7">
        <v>660.4</v>
      </c>
    </row>
    <row r="160" spans="1:26" x14ac:dyDescent="0.35">
      <c r="A160" s="7" t="s">
        <v>27</v>
      </c>
      <c r="B160" s="7" t="s">
        <v>43</v>
      </c>
      <c r="C160" s="7" t="s">
        <v>50</v>
      </c>
      <c r="D160" s="7" t="s">
        <v>55</v>
      </c>
      <c r="E160" s="7" t="s">
        <v>38</v>
      </c>
      <c r="F160" s="7" t="s">
        <v>78</v>
      </c>
      <c r="G160" s="7">
        <v>2021</v>
      </c>
      <c r="H160" s="7" t="str">
        <f>CONCATENATE("14210993243")</f>
        <v>14210993243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CONCATENATE("13 13.1 4a")</f>
        <v>13 13.1 4a</v>
      </c>
      <c r="M160" s="7" t="str">
        <f>CONCATENATE("00170370415")</f>
        <v>00170370415</v>
      </c>
      <c r="N160" s="7" t="s">
        <v>291</v>
      </c>
      <c r="O160" s="7" t="s">
        <v>175</v>
      </c>
      <c r="P160" s="8">
        <v>44546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9000</v>
      </c>
      <c r="W160" s="9">
        <v>3880.8</v>
      </c>
      <c r="X160" s="9">
        <v>3583.8</v>
      </c>
      <c r="Y160" s="7">
        <v>0</v>
      </c>
      <c r="Z160" s="9">
        <v>1535.4</v>
      </c>
    </row>
    <row r="161" spans="1:26" x14ac:dyDescent="0.35">
      <c r="A161" s="7" t="s">
        <v>27</v>
      </c>
      <c r="B161" s="7" t="s">
        <v>43</v>
      </c>
      <c r="C161" s="7" t="s">
        <v>50</v>
      </c>
      <c r="D161" s="7" t="s">
        <v>95</v>
      </c>
      <c r="E161" s="7" t="s">
        <v>29</v>
      </c>
      <c r="F161" s="7" t="s">
        <v>147</v>
      </c>
      <c r="G161" s="7">
        <v>2021</v>
      </c>
      <c r="H161" s="7" t="str">
        <f>CONCATENATE("14210334216")</f>
        <v>14210334216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CONCATENATE("13 13.1 4a")</f>
        <v>13 13.1 4a</v>
      </c>
      <c r="M161" s="7" t="str">
        <f>CONCATENATE("01815300437")</f>
        <v>01815300437</v>
      </c>
      <c r="N161" s="7" t="s">
        <v>292</v>
      </c>
      <c r="O161" s="7" t="s">
        <v>175</v>
      </c>
      <c r="P161" s="8">
        <v>44546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9000</v>
      </c>
      <c r="W161" s="9">
        <v>3880.8</v>
      </c>
      <c r="X161" s="9">
        <v>3583.8</v>
      </c>
      <c r="Y161" s="7">
        <v>0</v>
      </c>
      <c r="Z161" s="9">
        <v>1535.4</v>
      </c>
    </row>
    <row r="162" spans="1:26" x14ac:dyDescent="0.35">
      <c r="A162" s="7" t="s">
        <v>27</v>
      </c>
      <c r="B162" s="7" t="s">
        <v>43</v>
      </c>
      <c r="C162" s="7" t="s">
        <v>50</v>
      </c>
      <c r="D162" s="7" t="s">
        <v>55</v>
      </c>
      <c r="E162" s="7" t="s">
        <v>36</v>
      </c>
      <c r="F162" s="7" t="s">
        <v>191</v>
      </c>
      <c r="G162" s="7">
        <v>2020</v>
      </c>
      <c r="H162" s="7" t="str">
        <f>CONCATENATE("04211279320")</f>
        <v>04211279320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CONCATENATE("13 13.1 4a")</f>
        <v>13 13.1 4a</v>
      </c>
      <c r="M162" s="7" t="str">
        <f>CONCATENATE("03831890409")</f>
        <v>03831890409</v>
      </c>
      <c r="N162" s="7" t="s">
        <v>293</v>
      </c>
      <c r="O162" s="7" t="s">
        <v>175</v>
      </c>
      <c r="P162" s="8">
        <v>44546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7">
        <v>952.96</v>
      </c>
      <c r="W162" s="7">
        <v>410.92</v>
      </c>
      <c r="X162" s="7">
        <v>379.47</v>
      </c>
      <c r="Y162" s="7">
        <v>0</v>
      </c>
      <c r="Z162" s="7">
        <v>162.57</v>
      </c>
    </row>
    <row r="163" spans="1:26" x14ac:dyDescent="0.35">
      <c r="A163" s="7" t="s">
        <v>27</v>
      </c>
      <c r="B163" s="7" t="s">
        <v>43</v>
      </c>
      <c r="C163" s="7" t="s">
        <v>50</v>
      </c>
      <c r="D163" s="7" t="s">
        <v>55</v>
      </c>
      <c r="E163" s="7" t="s">
        <v>36</v>
      </c>
      <c r="F163" s="7" t="s">
        <v>191</v>
      </c>
      <c r="G163" s="7">
        <v>2020</v>
      </c>
      <c r="H163" s="7" t="str">
        <f>CONCATENATE("04211279312")</f>
        <v>04211279312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CONCATENATE("CRZPLA74D27I459Y")</f>
        <v>CRZPLA74D27I459Y</v>
      </c>
      <c r="N163" s="7" t="s">
        <v>294</v>
      </c>
      <c r="O163" s="7" t="s">
        <v>175</v>
      </c>
      <c r="P163" s="8">
        <v>44546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5286.57</v>
      </c>
      <c r="W163" s="9">
        <v>2279.5700000000002</v>
      </c>
      <c r="X163" s="9">
        <v>2105.11</v>
      </c>
      <c r="Y163" s="7">
        <v>0</v>
      </c>
      <c r="Z163" s="7">
        <v>901.89</v>
      </c>
    </row>
    <row r="164" spans="1:26" ht="17.5" x14ac:dyDescent="0.35">
      <c r="A164" s="7" t="s">
        <v>27</v>
      </c>
      <c r="B164" s="7" t="s">
        <v>43</v>
      </c>
      <c r="C164" s="7" t="s">
        <v>50</v>
      </c>
      <c r="D164" s="7" t="s">
        <v>55</v>
      </c>
      <c r="E164" s="7" t="s">
        <v>36</v>
      </c>
      <c r="F164" s="7" t="s">
        <v>191</v>
      </c>
      <c r="G164" s="7">
        <v>2020</v>
      </c>
      <c r="H164" s="7" t="str">
        <f>CONCATENATE("04211279353")</f>
        <v>04211279353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CONCATENATE("13 13.1 4a")</f>
        <v>13 13.1 4a</v>
      </c>
      <c r="M164" s="7" t="str">
        <f>CONCATENATE("03507620403")</f>
        <v>03507620403</v>
      </c>
      <c r="N164" s="7" t="s">
        <v>295</v>
      </c>
      <c r="O164" s="7" t="s">
        <v>175</v>
      </c>
      <c r="P164" s="8">
        <v>44546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5348.42</v>
      </c>
      <c r="W164" s="9">
        <v>2306.2399999999998</v>
      </c>
      <c r="X164" s="9">
        <v>2129.7399999999998</v>
      </c>
      <c r="Y164" s="7">
        <v>0</v>
      </c>
      <c r="Z164" s="7">
        <v>912.44</v>
      </c>
    </row>
    <row r="165" spans="1:26" x14ac:dyDescent="0.35">
      <c r="A165" s="7" t="s">
        <v>27</v>
      </c>
      <c r="B165" s="7" t="s">
        <v>43</v>
      </c>
      <c r="C165" s="7" t="s">
        <v>50</v>
      </c>
      <c r="D165" s="7" t="s">
        <v>51</v>
      </c>
      <c r="E165" s="7" t="s">
        <v>29</v>
      </c>
      <c r="F165" s="7" t="s">
        <v>296</v>
      </c>
      <c r="G165" s="7">
        <v>2021</v>
      </c>
      <c r="H165" s="7" t="str">
        <f>CONCATENATE("14210029188")</f>
        <v>14210029188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CONCATENATE("13 13.1 4a")</f>
        <v>13 13.1 4a</v>
      </c>
      <c r="M165" s="7" t="str">
        <f>CONCATENATE("DNGLCU59H54B474U")</f>
        <v>DNGLCU59H54B474U</v>
      </c>
      <c r="N165" s="7" t="s">
        <v>297</v>
      </c>
      <c r="O165" s="7" t="s">
        <v>175</v>
      </c>
      <c r="P165" s="8">
        <v>44546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7">
        <v>201.61</v>
      </c>
      <c r="W165" s="7">
        <v>86.93</v>
      </c>
      <c r="X165" s="7">
        <v>80.28</v>
      </c>
      <c r="Y165" s="7">
        <v>0</v>
      </c>
      <c r="Z165" s="7">
        <v>34.4</v>
      </c>
    </row>
    <row r="166" spans="1:26" x14ac:dyDescent="0.35">
      <c r="A166" s="7" t="s">
        <v>27</v>
      </c>
      <c r="B166" s="7" t="s">
        <v>43</v>
      </c>
      <c r="C166" s="7" t="s">
        <v>50</v>
      </c>
      <c r="D166" s="7" t="s">
        <v>95</v>
      </c>
      <c r="E166" s="7" t="s">
        <v>29</v>
      </c>
      <c r="F166" s="7" t="s">
        <v>298</v>
      </c>
      <c r="G166" s="7">
        <v>2018</v>
      </c>
      <c r="H166" s="7" t="str">
        <f>CONCATENATE("84241681174")</f>
        <v>84241681174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CONCATENATE("10 10.1 4a")</f>
        <v>10 10.1 4a</v>
      </c>
      <c r="M166" s="7" t="str">
        <f>CONCATENATE("FRRCST71E52F205B")</f>
        <v>FRRCST71E52F205B</v>
      </c>
      <c r="N166" s="7" t="s">
        <v>299</v>
      </c>
      <c r="O166" s="7" t="s">
        <v>300</v>
      </c>
      <c r="P166" s="8">
        <v>44540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7">
        <v>744.97</v>
      </c>
      <c r="W166" s="7">
        <v>321.23</v>
      </c>
      <c r="X166" s="7">
        <v>296.64999999999998</v>
      </c>
      <c r="Y166" s="7">
        <v>0</v>
      </c>
      <c r="Z166" s="7">
        <v>127.09</v>
      </c>
    </row>
    <row r="167" spans="1:26" x14ac:dyDescent="0.35">
      <c r="A167" s="7" t="s">
        <v>27</v>
      </c>
      <c r="B167" s="7" t="s">
        <v>43</v>
      </c>
      <c r="C167" s="7" t="s">
        <v>50</v>
      </c>
      <c r="D167" s="7" t="s">
        <v>55</v>
      </c>
      <c r="E167" s="7" t="s">
        <v>29</v>
      </c>
      <c r="F167" s="7" t="s">
        <v>91</v>
      </c>
      <c r="G167" s="7">
        <v>2018</v>
      </c>
      <c r="H167" s="7" t="str">
        <f>CONCATENATE("84240969067")</f>
        <v>84240969067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CONCATENATE("10 10.1 4a")</f>
        <v>10 10.1 4a</v>
      </c>
      <c r="M167" s="7" t="str">
        <f>CONCATENATE("RMTGCM91B05G535X")</f>
        <v>RMTGCM91B05G535X</v>
      </c>
      <c r="N167" s="7" t="s">
        <v>301</v>
      </c>
      <c r="O167" s="7" t="s">
        <v>300</v>
      </c>
      <c r="P167" s="8">
        <v>44540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9">
        <v>32086.11</v>
      </c>
      <c r="W167" s="9">
        <v>13835.53</v>
      </c>
      <c r="X167" s="9">
        <v>12776.69</v>
      </c>
      <c r="Y167" s="7">
        <v>0</v>
      </c>
      <c r="Z167" s="9">
        <v>5473.89</v>
      </c>
    </row>
    <row r="168" spans="1:26" x14ac:dyDescent="0.35">
      <c r="A168" s="7" t="s">
        <v>27</v>
      </c>
      <c r="B168" s="7" t="s">
        <v>43</v>
      </c>
      <c r="C168" s="7" t="s">
        <v>50</v>
      </c>
      <c r="D168" s="7" t="s">
        <v>55</v>
      </c>
      <c r="E168" s="7" t="s">
        <v>29</v>
      </c>
      <c r="F168" s="7" t="s">
        <v>91</v>
      </c>
      <c r="G168" s="7">
        <v>2020</v>
      </c>
      <c r="H168" s="7" t="str">
        <f>CONCATENATE("04240506842")</f>
        <v>04240506842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CONCATENATE("10 10.1 4a")</f>
        <v>10 10.1 4a</v>
      </c>
      <c r="M168" s="7" t="str">
        <f>CONCATENATE("RMTGCM91B05G535X")</f>
        <v>RMTGCM91B05G535X</v>
      </c>
      <c r="N168" s="7" t="s">
        <v>301</v>
      </c>
      <c r="O168" s="7" t="s">
        <v>300</v>
      </c>
      <c r="P168" s="8">
        <v>44540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9">
        <v>32126.48</v>
      </c>
      <c r="W168" s="9">
        <v>13852.94</v>
      </c>
      <c r="X168" s="9">
        <v>12792.76</v>
      </c>
      <c r="Y168" s="7">
        <v>0</v>
      </c>
      <c r="Z168" s="9">
        <v>5480.78</v>
      </c>
    </row>
    <row r="169" spans="1:26" x14ac:dyDescent="0.35">
      <c r="A169" s="7" t="s">
        <v>27</v>
      </c>
      <c r="B169" s="7" t="s">
        <v>28</v>
      </c>
      <c r="C169" s="7" t="s">
        <v>50</v>
      </c>
      <c r="D169" s="7" t="s">
        <v>59</v>
      </c>
      <c r="E169" s="7" t="s">
        <v>39</v>
      </c>
      <c r="F169" s="7" t="s">
        <v>302</v>
      </c>
      <c r="G169" s="7">
        <v>2017</v>
      </c>
      <c r="H169" s="7" t="str">
        <f>CONCATENATE("14270341069")</f>
        <v>14270341069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CONCATENATE("4 4.1 2a")</f>
        <v>4 4.1 2a</v>
      </c>
      <c r="M169" s="7" t="str">
        <f>CONCATENATE("PRCLCU88C52I324Z")</f>
        <v>PRCLCU88C52I324Z</v>
      </c>
      <c r="N169" s="7" t="s">
        <v>303</v>
      </c>
      <c r="O169" s="7" t="s">
        <v>304</v>
      </c>
      <c r="P169" s="8">
        <v>44543</v>
      </c>
      <c r="Q169" s="7" t="s">
        <v>32</v>
      </c>
      <c r="R169" s="7" t="s">
        <v>47</v>
      </c>
      <c r="S169" s="7" t="s">
        <v>34</v>
      </c>
      <c r="T169" s="7"/>
      <c r="U169" s="7" t="s">
        <v>35</v>
      </c>
      <c r="V169" s="9">
        <v>65274.96</v>
      </c>
      <c r="W169" s="9">
        <v>28146.560000000001</v>
      </c>
      <c r="X169" s="9">
        <v>25992.49</v>
      </c>
      <c r="Y169" s="7">
        <v>0</v>
      </c>
      <c r="Z169" s="9">
        <v>11135.91</v>
      </c>
    </row>
    <row r="170" spans="1:26" x14ac:dyDescent="0.35">
      <c r="A170" s="7" t="s">
        <v>27</v>
      </c>
      <c r="B170" s="7" t="s">
        <v>28</v>
      </c>
      <c r="C170" s="7" t="s">
        <v>50</v>
      </c>
      <c r="D170" s="7" t="s">
        <v>51</v>
      </c>
      <c r="E170" s="7" t="s">
        <v>42</v>
      </c>
      <c r="F170" s="7" t="s">
        <v>42</v>
      </c>
      <c r="G170" s="7">
        <v>2017</v>
      </c>
      <c r="H170" s="7" t="str">
        <f>CONCATENATE("14270337398")</f>
        <v>14270337398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CONCATENATE("6 6.4 2a")</f>
        <v>6 6.4 2a</v>
      </c>
      <c r="M170" s="7" t="str">
        <f>CONCATENATE("02747110423")</f>
        <v>02747110423</v>
      </c>
      <c r="N170" s="7" t="s">
        <v>100</v>
      </c>
      <c r="O170" s="7" t="s">
        <v>305</v>
      </c>
      <c r="P170" s="8">
        <v>44543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199513.84</v>
      </c>
      <c r="W170" s="9">
        <v>86030.37</v>
      </c>
      <c r="X170" s="9">
        <v>79446.41</v>
      </c>
      <c r="Y170" s="7">
        <v>0</v>
      </c>
      <c r="Z170" s="9">
        <v>34037.06</v>
      </c>
    </row>
    <row r="171" spans="1:26" x14ac:dyDescent="0.35">
      <c r="A171" s="7" t="s">
        <v>27</v>
      </c>
      <c r="B171" s="7" t="s">
        <v>28</v>
      </c>
      <c r="C171" s="7" t="s">
        <v>50</v>
      </c>
      <c r="D171" s="7" t="s">
        <v>59</v>
      </c>
      <c r="E171" s="7" t="s">
        <v>39</v>
      </c>
      <c r="F171" s="7" t="s">
        <v>302</v>
      </c>
      <c r="G171" s="7">
        <v>2017</v>
      </c>
      <c r="H171" s="7" t="str">
        <f>CONCATENATE("14270341051")</f>
        <v>14270341051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CONCATENATE("6 6.4 2a")</f>
        <v>6 6.4 2a</v>
      </c>
      <c r="M171" s="7" t="str">
        <f>CONCATENATE("PRCLCU88C52I324Z")</f>
        <v>PRCLCU88C52I324Z</v>
      </c>
      <c r="N171" s="7" t="s">
        <v>303</v>
      </c>
      <c r="O171" s="7" t="s">
        <v>306</v>
      </c>
      <c r="P171" s="8">
        <v>44543</v>
      </c>
      <c r="Q171" s="7" t="s">
        <v>32</v>
      </c>
      <c r="R171" s="7" t="s">
        <v>47</v>
      </c>
      <c r="S171" s="7" t="s">
        <v>34</v>
      </c>
      <c r="T171" s="7"/>
      <c r="U171" s="7" t="s">
        <v>35</v>
      </c>
      <c r="V171" s="9">
        <v>72070.149999999994</v>
      </c>
      <c r="W171" s="9">
        <v>31076.65</v>
      </c>
      <c r="X171" s="9">
        <v>28698.33</v>
      </c>
      <c r="Y171" s="7">
        <v>0</v>
      </c>
      <c r="Z171" s="9">
        <v>12295.17</v>
      </c>
    </row>
    <row r="172" spans="1:26" x14ac:dyDescent="0.35">
      <c r="A172" s="7" t="s">
        <v>27</v>
      </c>
      <c r="B172" s="7" t="s">
        <v>28</v>
      </c>
      <c r="C172" s="7" t="s">
        <v>50</v>
      </c>
      <c r="D172" s="7" t="s">
        <v>55</v>
      </c>
      <c r="E172" s="7" t="s">
        <v>42</v>
      </c>
      <c r="F172" s="7" t="s">
        <v>42</v>
      </c>
      <c r="G172" s="7">
        <v>2017</v>
      </c>
      <c r="H172" s="7" t="str">
        <f>CONCATENATE("14270345383")</f>
        <v>14270345383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CONCATENATE("6 6.4 2a")</f>
        <v>6 6.4 2a</v>
      </c>
      <c r="M172" s="7" t="str">
        <f>CONCATENATE("LNESFN65P30L498P")</f>
        <v>LNESFN65P30L498P</v>
      </c>
      <c r="N172" s="7" t="s">
        <v>307</v>
      </c>
      <c r="O172" s="7" t="s">
        <v>308</v>
      </c>
      <c r="P172" s="8">
        <v>44544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9">
        <v>19989.490000000002</v>
      </c>
      <c r="W172" s="9">
        <v>8619.4699999999993</v>
      </c>
      <c r="X172" s="9">
        <v>7959.81</v>
      </c>
      <c r="Y172" s="7">
        <v>0</v>
      </c>
      <c r="Z172" s="9">
        <v>3410.21</v>
      </c>
    </row>
    <row r="173" spans="1:26" ht="17.5" x14ac:dyDescent="0.35">
      <c r="A173" s="7" t="s">
        <v>27</v>
      </c>
      <c r="B173" s="7" t="s">
        <v>28</v>
      </c>
      <c r="C173" s="7" t="s">
        <v>50</v>
      </c>
      <c r="D173" s="7" t="s">
        <v>59</v>
      </c>
      <c r="E173" s="7" t="s">
        <v>44</v>
      </c>
      <c r="F173" s="7" t="s">
        <v>82</v>
      </c>
      <c r="G173" s="7">
        <v>2017</v>
      </c>
      <c r="H173" s="7" t="str">
        <f>CONCATENATE("14270346480")</f>
        <v>14270346480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CONCATENATE("6 6.1 2b")</f>
        <v>6 6.1 2b</v>
      </c>
      <c r="M173" s="7" t="str">
        <f>CONCATENATE("02255700441")</f>
        <v>02255700441</v>
      </c>
      <c r="N173" s="7" t="s">
        <v>103</v>
      </c>
      <c r="O173" s="7" t="s">
        <v>309</v>
      </c>
      <c r="P173" s="8">
        <v>44545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10185</v>
      </c>
      <c r="W173" s="9">
        <v>4391.7700000000004</v>
      </c>
      <c r="X173" s="9">
        <v>4055.67</v>
      </c>
      <c r="Y173" s="7">
        <v>0</v>
      </c>
      <c r="Z173" s="9">
        <v>1737.56</v>
      </c>
    </row>
    <row r="174" spans="1:26" x14ac:dyDescent="0.35">
      <c r="A174" s="7" t="s">
        <v>27</v>
      </c>
      <c r="B174" s="7" t="s">
        <v>28</v>
      </c>
      <c r="C174" s="7" t="s">
        <v>50</v>
      </c>
      <c r="D174" s="7" t="s">
        <v>55</v>
      </c>
      <c r="E174" s="7" t="s">
        <v>29</v>
      </c>
      <c r="F174" s="7" t="s">
        <v>56</v>
      </c>
      <c r="G174" s="7">
        <v>2017</v>
      </c>
      <c r="H174" s="7" t="str">
        <f>CONCATENATE("14270346852")</f>
        <v>14270346852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CONCATENATE("6 6.1 2b")</f>
        <v>6 6.1 2b</v>
      </c>
      <c r="M174" s="7" t="str">
        <f>CONCATENATE("RMTJTH95E31D488L")</f>
        <v>RMTJTH95E31D488L</v>
      </c>
      <c r="N174" s="7" t="s">
        <v>162</v>
      </c>
      <c r="O174" s="7" t="s">
        <v>310</v>
      </c>
      <c r="P174" s="8">
        <v>44545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9">
        <v>15000</v>
      </c>
      <c r="W174" s="9">
        <v>6468</v>
      </c>
      <c r="X174" s="9">
        <v>5973</v>
      </c>
      <c r="Y174" s="7">
        <v>0</v>
      </c>
      <c r="Z174" s="9">
        <v>2559</v>
      </c>
    </row>
    <row r="175" spans="1:26" x14ac:dyDescent="0.35">
      <c r="A175" s="7" t="s">
        <v>27</v>
      </c>
      <c r="B175" s="7" t="s">
        <v>28</v>
      </c>
      <c r="C175" s="7" t="s">
        <v>50</v>
      </c>
      <c r="D175" s="7" t="s">
        <v>50</v>
      </c>
      <c r="E175" s="7" t="s">
        <v>42</v>
      </c>
      <c r="F175" s="7" t="s">
        <v>42</v>
      </c>
      <c r="G175" s="7">
        <v>2017</v>
      </c>
      <c r="H175" s="7" t="str">
        <f>CONCATENATE("14270341101")</f>
        <v>14270341101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CONCATENATE("19 19.2 6b")</f>
        <v>19 19.2 6b</v>
      </c>
      <c r="M175" s="7" t="str">
        <f>CONCATENATE("00363500448")</f>
        <v>00363500448</v>
      </c>
      <c r="N175" s="7" t="s">
        <v>109</v>
      </c>
      <c r="O175" s="7" t="s">
        <v>311</v>
      </c>
      <c r="P175" s="8">
        <v>44540</v>
      </c>
      <c r="Q175" s="7" t="s">
        <v>32</v>
      </c>
      <c r="R175" s="7" t="s">
        <v>46</v>
      </c>
      <c r="S175" s="7" t="s">
        <v>34</v>
      </c>
      <c r="T175" s="7"/>
      <c r="U175" s="7" t="s">
        <v>35</v>
      </c>
      <c r="V175" s="9">
        <v>19792.490000000002</v>
      </c>
      <c r="W175" s="9">
        <v>8534.52</v>
      </c>
      <c r="X175" s="9">
        <v>7881.37</v>
      </c>
      <c r="Y175" s="7">
        <v>0</v>
      </c>
      <c r="Z175" s="9">
        <v>3376.6</v>
      </c>
    </row>
    <row r="176" spans="1:26" x14ac:dyDescent="0.35">
      <c r="A176" s="7" t="s">
        <v>27</v>
      </c>
      <c r="B176" s="7" t="s">
        <v>28</v>
      </c>
      <c r="C176" s="7" t="s">
        <v>50</v>
      </c>
      <c r="D176" s="7" t="s">
        <v>50</v>
      </c>
      <c r="E176" s="7" t="s">
        <v>42</v>
      </c>
      <c r="F176" s="7" t="s">
        <v>42</v>
      </c>
      <c r="G176" s="7">
        <v>2017</v>
      </c>
      <c r="H176" s="7" t="str">
        <f>CONCATENATE("14270341119")</f>
        <v>14270341119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CONCATENATE("19 19.2 6b")</f>
        <v>19 19.2 6b</v>
      </c>
      <c r="M176" s="7" t="str">
        <f>CONCATENATE("80001250440")</f>
        <v>80001250440</v>
      </c>
      <c r="N176" s="7" t="s">
        <v>107</v>
      </c>
      <c r="O176" s="7" t="s">
        <v>311</v>
      </c>
      <c r="P176" s="8">
        <v>44540</v>
      </c>
      <c r="Q176" s="7" t="s">
        <v>32</v>
      </c>
      <c r="R176" s="7" t="s">
        <v>46</v>
      </c>
      <c r="S176" s="7" t="s">
        <v>34</v>
      </c>
      <c r="T176" s="7"/>
      <c r="U176" s="7" t="s">
        <v>35</v>
      </c>
      <c r="V176" s="9">
        <v>22172.720000000001</v>
      </c>
      <c r="W176" s="9">
        <v>9560.8799999999992</v>
      </c>
      <c r="X176" s="9">
        <v>8829.18</v>
      </c>
      <c r="Y176" s="7">
        <v>0</v>
      </c>
      <c r="Z176" s="9">
        <v>3782.66</v>
      </c>
    </row>
    <row r="177" spans="1:26" x14ac:dyDescent="0.35">
      <c r="A177" s="7" t="s">
        <v>27</v>
      </c>
      <c r="B177" s="7" t="s">
        <v>28</v>
      </c>
      <c r="C177" s="7" t="s">
        <v>50</v>
      </c>
      <c r="D177" s="7" t="s">
        <v>50</v>
      </c>
      <c r="E177" s="7" t="s">
        <v>42</v>
      </c>
      <c r="F177" s="7" t="s">
        <v>42</v>
      </c>
      <c r="G177" s="7">
        <v>2017</v>
      </c>
      <c r="H177" s="7" t="str">
        <f>CONCATENATE("14270341127")</f>
        <v>14270341127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CONCATENATE("19 19.2 6b")</f>
        <v>19 19.2 6b</v>
      </c>
      <c r="M177" s="7" t="str">
        <f>CONCATENATE("00363500448")</f>
        <v>00363500448</v>
      </c>
      <c r="N177" s="7" t="s">
        <v>109</v>
      </c>
      <c r="O177" s="7" t="s">
        <v>312</v>
      </c>
      <c r="P177" s="8">
        <v>44540</v>
      </c>
      <c r="Q177" s="7" t="s">
        <v>32</v>
      </c>
      <c r="R177" s="7" t="s">
        <v>46</v>
      </c>
      <c r="S177" s="7" t="s">
        <v>34</v>
      </c>
      <c r="T177" s="7"/>
      <c r="U177" s="7" t="s">
        <v>35</v>
      </c>
      <c r="V177" s="9">
        <v>12680.26</v>
      </c>
      <c r="W177" s="9">
        <v>5467.73</v>
      </c>
      <c r="X177" s="9">
        <v>5049.28</v>
      </c>
      <c r="Y177" s="7">
        <v>0</v>
      </c>
      <c r="Z177" s="9">
        <v>2163.25</v>
      </c>
    </row>
    <row r="178" spans="1:26" x14ac:dyDescent="0.35">
      <c r="A178" s="7" t="s">
        <v>27</v>
      </c>
      <c r="B178" s="7" t="s">
        <v>28</v>
      </c>
      <c r="C178" s="7" t="s">
        <v>50</v>
      </c>
      <c r="D178" s="7" t="s">
        <v>59</v>
      </c>
      <c r="E178" s="7" t="s">
        <v>37</v>
      </c>
      <c r="F178" s="7" t="s">
        <v>273</v>
      </c>
      <c r="G178" s="7">
        <v>2017</v>
      </c>
      <c r="H178" s="7" t="str">
        <f>CONCATENATE("14270348205")</f>
        <v>14270348205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CONCATENATE("4 4.1 2a")</f>
        <v>4 4.1 2a</v>
      </c>
      <c r="M178" s="7" t="str">
        <f>CONCATENATE("GSPSDR73D46A462O")</f>
        <v>GSPSDR73D46A462O</v>
      </c>
      <c r="N178" s="7" t="s">
        <v>274</v>
      </c>
      <c r="O178" s="7" t="s">
        <v>313</v>
      </c>
      <c r="P178" s="8">
        <v>44545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9">
        <v>60615.46</v>
      </c>
      <c r="W178" s="9">
        <v>26137.39</v>
      </c>
      <c r="X178" s="9">
        <v>24137.08</v>
      </c>
      <c r="Y178" s="7">
        <v>0</v>
      </c>
      <c r="Z178" s="9">
        <v>10340.99</v>
      </c>
    </row>
    <row r="179" spans="1:26" x14ac:dyDescent="0.35">
      <c r="A179" s="7" t="s">
        <v>27</v>
      </c>
      <c r="B179" s="7" t="s">
        <v>28</v>
      </c>
      <c r="C179" s="7" t="s">
        <v>50</v>
      </c>
      <c r="D179" s="7" t="s">
        <v>95</v>
      </c>
      <c r="E179" s="7" t="s">
        <v>29</v>
      </c>
      <c r="F179" s="7" t="s">
        <v>147</v>
      </c>
      <c r="G179" s="7">
        <v>2017</v>
      </c>
      <c r="H179" s="7" t="str">
        <f>CONCATENATE("14270348148")</f>
        <v>14270348148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CONCATENATE("4 4.4 4c")</f>
        <v>4 4.4 4c</v>
      </c>
      <c r="M179" s="7" t="str">
        <f>CONCATENATE("RCCNLS55P67D564V")</f>
        <v>RCCNLS55P67D564V</v>
      </c>
      <c r="N179" s="7" t="s">
        <v>314</v>
      </c>
      <c r="O179" s="7" t="s">
        <v>315</v>
      </c>
      <c r="P179" s="8">
        <v>44545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2075.12</v>
      </c>
      <c r="W179" s="7">
        <v>894.79</v>
      </c>
      <c r="X179" s="7">
        <v>826.31</v>
      </c>
      <c r="Y179" s="7">
        <v>0</v>
      </c>
      <c r="Z179" s="7">
        <v>354.02</v>
      </c>
    </row>
    <row r="180" spans="1:26" x14ac:dyDescent="0.35">
      <c r="A180" s="7" t="s">
        <v>27</v>
      </c>
      <c r="B180" s="7" t="s">
        <v>28</v>
      </c>
      <c r="C180" s="7" t="s">
        <v>50</v>
      </c>
      <c r="D180" s="7" t="s">
        <v>55</v>
      </c>
      <c r="E180" s="7" t="s">
        <v>42</v>
      </c>
      <c r="F180" s="7" t="s">
        <v>42</v>
      </c>
      <c r="G180" s="7">
        <v>2017</v>
      </c>
      <c r="H180" s="7" t="str">
        <f>CONCATENATE("14270346522")</f>
        <v>14270346522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CONCATENATE("8 8.5 4a")</f>
        <v>8 8.5 4a</v>
      </c>
      <c r="M180" s="7" t="str">
        <f>CONCATENATE("02561910411")</f>
        <v>02561910411</v>
      </c>
      <c r="N180" s="7" t="s">
        <v>316</v>
      </c>
      <c r="O180" s="7" t="s">
        <v>317</v>
      </c>
      <c r="P180" s="8">
        <v>44545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9">
        <v>197047.11</v>
      </c>
      <c r="W180" s="9">
        <v>84966.71</v>
      </c>
      <c r="X180" s="9">
        <v>78464.160000000003</v>
      </c>
      <c r="Y180" s="7">
        <v>0</v>
      </c>
      <c r="Z180" s="9">
        <v>33616.239999999998</v>
      </c>
    </row>
    <row r="181" spans="1:26" x14ac:dyDescent="0.35">
      <c r="A181" s="7" t="s">
        <v>27</v>
      </c>
      <c r="B181" s="7" t="s">
        <v>28</v>
      </c>
      <c r="C181" s="7" t="s">
        <v>50</v>
      </c>
      <c r="D181" s="7" t="s">
        <v>55</v>
      </c>
      <c r="E181" s="7" t="s">
        <v>42</v>
      </c>
      <c r="F181" s="7" t="s">
        <v>42</v>
      </c>
      <c r="G181" s="7">
        <v>2017</v>
      </c>
      <c r="H181" s="7" t="str">
        <f>CONCATENATE("14270346514")</f>
        <v>14270346514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CONCATENATE("8 8.5 4a")</f>
        <v>8 8.5 4a</v>
      </c>
      <c r="M181" s="7" t="str">
        <f>CONCATENATE("02561910411")</f>
        <v>02561910411</v>
      </c>
      <c r="N181" s="7" t="s">
        <v>316</v>
      </c>
      <c r="O181" s="7" t="s">
        <v>317</v>
      </c>
      <c r="P181" s="8">
        <v>44545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9">
        <v>228406.52</v>
      </c>
      <c r="W181" s="9">
        <v>98488.89</v>
      </c>
      <c r="X181" s="9">
        <v>90951.48</v>
      </c>
      <c r="Y181" s="7">
        <v>0</v>
      </c>
      <c r="Z181" s="9">
        <v>38966.15</v>
      </c>
    </row>
    <row r="182" spans="1:26" x14ac:dyDescent="0.35">
      <c r="A182" s="7" t="s">
        <v>27</v>
      </c>
      <c r="B182" s="7" t="s">
        <v>28</v>
      </c>
      <c r="C182" s="7" t="s">
        <v>50</v>
      </c>
      <c r="D182" s="7" t="s">
        <v>55</v>
      </c>
      <c r="E182" s="7" t="s">
        <v>42</v>
      </c>
      <c r="F182" s="7" t="s">
        <v>42</v>
      </c>
      <c r="G182" s="7">
        <v>2017</v>
      </c>
      <c r="H182" s="7" t="str">
        <f>CONCATENATE("94270174835")</f>
        <v>94270174835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CONCATENATE("16 16.8 5e")</f>
        <v>16 16.8 5e</v>
      </c>
      <c r="M182" s="7" t="str">
        <f>CONCATENATE("02561910411")</f>
        <v>02561910411</v>
      </c>
      <c r="N182" s="7" t="s">
        <v>316</v>
      </c>
      <c r="O182" s="7" t="s">
        <v>318</v>
      </c>
      <c r="P182" s="8">
        <v>44545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268238.98</v>
      </c>
      <c r="W182" s="9">
        <v>115664.65</v>
      </c>
      <c r="X182" s="9">
        <v>106812.76</v>
      </c>
      <c r="Y182" s="7">
        <v>0</v>
      </c>
      <c r="Z182" s="9">
        <v>45761.57</v>
      </c>
    </row>
    <row r="183" spans="1:26" ht="17.5" x14ac:dyDescent="0.35">
      <c r="A183" s="7" t="s">
        <v>27</v>
      </c>
      <c r="B183" s="7" t="s">
        <v>28</v>
      </c>
      <c r="C183" s="7" t="s">
        <v>50</v>
      </c>
      <c r="D183" s="7" t="s">
        <v>95</v>
      </c>
      <c r="E183" s="7" t="s">
        <v>38</v>
      </c>
      <c r="F183" s="7" t="s">
        <v>269</v>
      </c>
      <c r="G183" s="7">
        <v>2017</v>
      </c>
      <c r="H183" s="7" t="str">
        <f>CONCATENATE("14270342893")</f>
        <v>14270342893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 1.2 2a")</f>
        <v>1 1.2 2a</v>
      </c>
      <c r="M183" s="7" t="str">
        <f>CONCATENATE("01393680440")</f>
        <v>01393680440</v>
      </c>
      <c r="N183" s="7" t="s">
        <v>319</v>
      </c>
      <c r="O183" s="7" t="s">
        <v>320</v>
      </c>
      <c r="P183" s="8">
        <v>44543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13033.93</v>
      </c>
      <c r="W183" s="9">
        <v>5620.23</v>
      </c>
      <c r="X183" s="9">
        <v>5190.1099999999997</v>
      </c>
      <c r="Y183" s="7">
        <v>0</v>
      </c>
      <c r="Z183" s="9">
        <v>2223.59</v>
      </c>
    </row>
    <row r="184" spans="1:26" x14ac:dyDescent="0.35">
      <c r="A184" s="7" t="s">
        <v>27</v>
      </c>
      <c r="B184" s="7" t="s">
        <v>28</v>
      </c>
      <c r="C184" s="7" t="s">
        <v>50</v>
      </c>
      <c r="D184" s="7" t="s">
        <v>55</v>
      </c>
      <c r="E184" s="7" t="s">
        <v>42</v>
      </c>
      <c r="F184" s="7" t="s">
        <v>42</v>
      </c>
      <c r="G184" s="7">
        <v>2017</v>
      </c>
      <c r="H184" s="7" t="str">
        <f>CONCATENATE("94270174843")</f>
        <v>94270174843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CONCATENATE("16 16.8 5e")</f>
        <v>16 16.8 5e</v>
      </c>
      <c r="M184" s="7" t="str">
        <f>CONCATENATE("02565260417")</f>
        <v>02565260417</v>
      </c>
      <c r="N184" s="7" t="s">
        <v>321</v>
      </c>
      <c r="O184" s="7" t="s">
        <v>318</v>
      </c>
      <c r="P184" s="8">
        <v>44545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9">
        <v>102477.19</v>
      </c>
      <c r="W184" s="9">
        <v>44188.160000000003</v>
      </c>
      <c r="X184" s="9">
        <v>40806.42</v>
      </c>
      <c r="Y184" s="7">
        <v>0</v>
      </c>
      <c r="Z184" s="9">
        <v>17482.61</v>
      </c>
    </row>
    <row r="185" spans="1:26" ht="17.5" x14ac:dyDescent="0.35">
      <c r="A185" s="7" t="s">
        <v>27</v>
      </c>
      <c r="B185" s="7" t="s">
        <v>28</v>
      </c>
      <c r="C185" s="7" t="s">
        <v>50</v>
      </c>
      <c r="D185" s="7" t="s">
        <v>95</v>
      </c>
      <c r="E185" s="7" t="s">
        <v>29</v>
      </c>
      <c r="F185" s="7" t="s">
        <v>171</v>
      </c>
      <c r="G185" s="7">
        <v>2017</v>
      </c>
      <c r="H185" s="7" t="str">
        <f>CONCATENATE("14270348189")</f>
        <v>14270348189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CONCATENATE("4 4.1 2a")</f>
        <v>4 4.1 2a</v>
      </c>
      <c r="M185" s="7" t="str">
        <f>CONCATENATE("01311600439")</f>
        <v>01311600439</v>
      </c>
      <c r="N185" s="7" t="s">
        <v>322</v>
      </c>
      <c r="O185" s="7" t="s">
        <v>313</v>
      </c>
      <c r="P185" s="8">
        <v>44545</v>
      </c>
      <c r="Q185" s="7" t="s">
        <v>32</v>
      </c>
      <c r="R185" s="7" t="s">
        <v>47</v>
      </c>
      <c r="S185" s="7" t="s">
        <v>34</v>
      </c>
      <c r="T185" s="7"/>
      <c r="U185" s="7" t="s">
        <v>35</v>
      </c>
      <c r="V185" s="9">
        <v>124481.2</v>
      </c>
      <c r="W185" s="9">
        <v>53676.29</v>
      </c>
      <c r="X185" s="9">
        <v>49568.41</v>
      </c>
      <c r="Y185" s="7">
        <v>0</v>
      </c>
      <c r="Z185" s="9">
        <v>21236.5</v>
      </c>
    </row>
    <row r="186" spans="1:26" x14ac:dyDescent="0.35">
      <c r="A186" s="7" t="s">
        <v>27</v>
      </c>
      <c r="B186" s="7" t="s">
        <v>28</v>
      </c>
      <c r="C186" s="7" t="s">
        <v>50</v>
      </c>
      <c r="D186" s="7" t="s">
        <v>95</v>
      </c>
      <c r="E186" s="7" t="s">
        <v>42</v>
      </c>
      <c r="F186" s="7" t="s">
        <v>42</v>
      </c>
      <c r="G186" s="7">
        <v>2017</v>
      </c>
      <c r="H186" s="7" t="str">
        <f>CONCATENATE("14270340863")</f>
        <v>14270340863</v>
      </c>
      <c r="I186" s="7" t="s">
        <v>30</v>
      </c>
      <c r="J186" s="7" t="s">
        <v>31</v>
      </c>
      <c r="K186" s="7" t="str">
        <f>CONCATENATE("")</f>
        <v/>
      </c>
      <c r="L186" s="7" t="str">
        <f>CONCATENATE("6 6.1 2b")</f>
        <v>6 6.1 2b</v>
      </c>
      <c r="M186" s="7" t="str">
        <f>CONCATENATE("SNTRSE84M11E388W")</f>
        <v>SNTRSE84M11E388W</v>
      </c>
      <c r="N186" s="7" t="s">
        <v>323</v>
      </c>
      <c r="O186" s="7" t="s">
        <v>324</v>
      </c>
      <c r="P186" s="8">
        <v>44540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9">
        <v>21000</v>
      </c>
      <c r="W186" s="9">
        <v>9055.2000000000007</v>
      </c>
      <c r="X186" s="9">
        <v>8362.2000000000007</v>
      </c>
      <c r="Y186" s="7">
        <v>0</v>
      </c>
      <c r="Z186" s="9">
        <v>3582.6</v>
      </c>
    </row>
    <row r="187" spans="1:26" x14ac:dyDescent="0.35">
      <c r="A187" s="7" t="s">
        <v>27</v>
      </c>
      <c r="B187" s="7" t="s">
        <v>28</v>
      </c>
      <c r="C187" s="7" t="s">
        <v>50</v>
      </c>
      <c r="D187" s="7" t="s">
        <v>95</v>
      </c>
      <c r="E187" s="7" t="s">
        <v>42</v>
      </c>
      <c r="F187" s="7" t="s">
        <v>42</v>
      </c>
      <c r="G187" s="7">
        <v>2017</v>
      </c>
      <c r="H187" s="7" t="str">
        <f>CONCATENATE("14270340871")</f>
        <v>14270340871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CONCATENATE("4 4.1 2a")</f>
        <v>4 4.1 2a</v>
      </c>
      <c r="M187" s="7" t="str">
        <f>CONCATENATE("SNTRSE84M11E388W")</f>
        <v>SNTRSE84M11E388W</v>
      </c>
      <c r="N187" s="7" t="s">
        <v>323</v>
      </c>
      <c r="O187" s="7" t="s">
        <v>325</v>
      </c>
      <c r="P187" s="8">
        <v>44540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9">
        <v>46263.74</v>
      </c>
      <c r="W187" s="9">
        <v>19948.919999999998</v>
      </c>
      <c r="X187" s="9">
        <v>18422.22</v>
      </c>
      <c r="Y187" s="7">
        <v>0</v>
      </c>
      <c r="Z187" s="9">
        <v>7892.6</v>
      </c>
    </row>
    <row r="188" spans="1:26" x14ac:dyDescent="0.35">
      <c r="A188" s="7" t="s">
        <v>27</v>
      </c>
      <c r="B188" s="7" t="s">
        <v>28</v>
      </c>
      <c r="C188" s="7" t="s">
        <v>50</v>
      </c>
      <c r="D188" s="7" t="s">
        <v>95</v>
      </c>
      <c r="E188" s="7" t="s">
        <v>42</v>
      </c>
      <c r="F188" s="7" t="s">
        <v>42</v>
      </c>
      <c r="G188" s="7">
        <v>2017</v>
      </c>
      <c r="H188" s="7" t="str">
        <f>CONCATENATE("14270340970")</f>
        <v>14270340970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CONCATENATE("4 4.1 2a")</f>
        <v>4 4.1 2a</v>
      </c>
      <c r="M188" s="7" t="str">
        <f>CONCATENATE("01763810437")</f>
        <v>01763810437</v>
      </c>
      <c r="N188" s="7" t="s">
        <v>326</v>
      </c>
      <c r="O188" s="7" t="s">
        <v>327</v>
      </c>
      <c r="P188" s="8">
        <v>44540</v>
      </c>
      <c r="Q188" s="7" t="s">
        <v>32</v>
      </c>
      <c r="R188" s="7" t="s">
        <v>47</v>
      </c>
      <c r="S188" s="7" t="s">
        <v>34</v>
      </c>
      <c r="T188" s="7"/>
      <c r="U188" s="7" t="s">
        <v>35</v>
      </c>
      <c r="V188" s="9">
        <v>461040</v>
      </c>
      <c r="W188" s="9">
        <v>198800.45</v>
      </c>
      <c r="X188" s="9">
        <v>183586.13</v>
      </c>
      <c r="Y188" s="7">
        <v>0</v>
      </c>
      <c r="Z188" s="9">
        <v>78653.42</v>
      </c>
    </row>
    <row r="189" spans="1:26" x14ac:dyDescent="0.35">
      <c r="A189" s="7" t="s">
        <v>27</v>
      </c>
      <c r="B189" s="7" t="s">
        <v>28</v>
      </c>
      <c r="C189" s="7" t="s">
        <v>50</v>
      </c>
      <c r="D189" s="7" t="s">
        <v>59</v>
      </c>
      <c r="E189" s="7" t="s">
        <v>44</v>
      </c>
      <c r="F189" s="7" t="s">
        <v>82</v>
      </c>
      <c r="G189" s="7">
        <v>2017</v>
      </c>
      <c r="H189" s="7" t="str">
        <f>CONCATENATE("14270340962")</f>
        <v>14270340962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CONCATENATE("4 4.1 2a")</f>
        <v>4 4.1 2a</v>
      </c>
      <c r="M189" s="7" t="str">
        <f>CONCATENATE("CRTVNC88M51H769Y")</f>
        <v>CRTVNC88M51H769Y</v>
      </c>
      <c r="N189" s="7" t="s">
        <v>328</v>
      </c>
      <c r="O189" s="7" t="s">
        <v>327</v>
      </c>
      <c r="P189" s="8">
        <v>44540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9">
        <v>26017.97</v>
      </c>
      <c r="W189" s="9">
        <v>11218.95</v>
      </c>
      <c r="X189" s="9">
        <v>10360.36</v>
      </c>
      <c r="Y189" s="7">
        <v>0</v>
      </c>
      <c r="Z189" s="9">
        <v>4438.66</v>
      </c>
    </row>
    <row r="190" spans="1:26" x14ac:dyDescent="0.35">
      <c r="A190" s="7" t="s">
        <v>27</v>
      </c>
      <c r="B190" s="7" t="s">
        <v>28</v>
      </c>
      <c r="C190" s="7" t="s">
        <v>50</v>
      </c>
      <c r="D190" s="7" t="s">
        <v>50</v>
      </c>
      <c r="E190" s="7" t="s">
        <v>42</v>
      </c>
      <c r="F190" s="7" t="s">
        <v>42</v>
      </c>
      <c r="G190" s="7">
        <v>2017</v>
      </c>
      <c r="H190" s="7" t="str">
        <f>CONCATENATE("14270348130")</f>
        <v>14270348130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CONCATENATE("19 19.2 6b")</f>
        <v>19 19.2 6b</v>
      </c>
      <c r="M190" s="7" t="str">
        <f>CONCATENATE("00345420426")</f>
        <v>00345420426</v>
      </c>
      <c r="N190" s="7" t="s">
        <v>329</v>
      </c>
      <c r="O190" s="7" t="s">
        <v>330</v>
      </c>
      <c r="P190" s="8">
        <v>44546</v>
      </c>
      <c r="Q190" s="7" t="s">
        <v>32</v>
      </c>
      <c r="R190" s="7" t="s">
        <v>46</v>
      </c>
      <c r="S190" s="7" t="s">
        <v>34</v>
      </c>
      <c r="T190" s="7"/>
      <c r="U190" s="7" t="s">
        <v>35</v>
      </c>
      <c r="V190" s="9">
        <v>93636</v>
      </c>
      <c r="W190" s="9">
        <v>40375.839999999997</v>
      </c>
      <c r="X190" s="9">
        <v>37285.86</v>
      </c>
      <c r="Y190" s="7">
        <v>0</v>
      </c>
      <c r="Z190" s="9">
        <v>15974.3</v>
      </c>
    </row>
    <row r="191" spans="1:26" x14ac:dyDescent="0.35">
      <c r="A191" s="7" t="s">
        <v>27</v>
      </c>
      <c r="B191" s="7" t="s">
        <v>28</v>
      </c>
      <c r="C191" s="7" t="s">
        <v>50</v>
      </c>
      <c r="D191" s="7" t="s">
        <v>50</v>
      </c>
      <c r="E191" s="7" t="s">
        <v>42</v>
      </c>
      <c r="F191" s="7" t="s">
        <v>42</v>
      </c>
      <c r="G191" s="7">
        <v>2017</v>
      </c>
      <c r="H191" s="7" t="str">
        <f>CONCATENATE("14270348122")</f>
        <v>14270348122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CONCATENATE("19 19.2 6b")</f>
        <v>19 19.2 6b</v>
      </c>
      <c r="M191" s="7" t="str">
        <f>CONCATENATE("00033120437")</f>
        <v>00033120437</v>
      </c>
      <c r="N191" s="7" t="s">
        <v>331</v>
      </c>
      <c r="O191" s="7" t="s">
        <v>332</v>
      </c>
      <c r="P191" s="8">
        <v>44546</v>
      </c>
      <c r="Q191" s="7" t="s">
        <v>32</v>
      </c>
      <c r="R191" s="7" t="s">
        <v>46</v>
      </c>
      <c r="S191" s="7" t="s">
        <v>34</v>
      </c>
      <c r="T191" s="7"/>
      <c r="U191" s="7" t="s">
        <v>35</v>
      </c>
      <c r="V191" s="9">
        <v>103561.95</v>
      </c>
      <c r="W191" s="9">
        <v>44655.91</v>
      </c>
      <c r="X191" s="9">
        <v>41238.370000000003</v>
      </c>
      <c r="Y191" s="7">
        <v>0</v>
      </c>
      <c r="Z191" s="9">
        <v>17667.669999999998</v>
      </c>
    </row>
    <row r="192" spans="1:26" x14ac:dyDescent="0.35">
      <c r="A192" s="7" t="s">
        <v>27</v>
      </c>
      <c r="B192" s="7" t="s">
        <v>28</v>
      </c>
      <c r="C192" s="7" t="s">
        <v>50</v>
      </c>
      <c r="D192" s="7" t="s">
        <v>55</v>
      </c>
      <c r="E192" s="7" t="s">
        <v>42</v>
      </c>
      <c r="F192" s="7" t="s">
        <v>42</v>
      </c>
      <c r="G192" s="7">
        <v>2017</v>
      </c>
      <c r="H192" s="7" t="str">
        <f>CONCATENATE("14270345326")</f>
        <v>14270345326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CONCATENATE("4 4.3 2a")</f>
        <v>4 4.3 2a</v>
      </c>
      <c r="M192" s="7" t="str">
        <f>CONCATENATE("00224000430")</f>
        <v>00224000430</v>
      </c>
      <c r="N192" s="7" t="s">
        <v>333</v>
      </c>
      <c r="O192" s="7" t="s">
        <v>334</v>
      </c>
      <c r="P192" s="8">
        <v>44543</v>
      </c>
      <c r="Q192" s="7" t="s">
        <v>32</v>
      </c>
      <c r="R192" s="7" t="s">
        <v>46</v>
      </c>
      <c r="S192" s="7" t="s">
        <v>34</v>
      </c>
      <c r="T192" s="7"/>
      <c r="U192" s="7" t="s">
        <v>35</v>
      </c>
      <c r="V192" s="9">
        <v>22135.05</v>
      </c>
      <c r="W192" s="9">
        <v>9544.6299999999992</v>
      </c>
      <c r="X192" s="9">
        <v>8814.18</v>
      </c>
      <c r="Y192" s="7">
        <v>0</v>
      </c>
      <c r="Z192" s="9">
        <v>3776.24</v>
      </c>
    </row>
    <row r="193" spans="1:26" x14ac:dyDescent="0.35">
      <c r="A193" s="7" t="s">
        <v>27</v>
      </c>
      <c r="B193" s="7" t="s">
        <v>28</v>
      </c>
      <c r="C193" s="7" t="s">
        <v>50</v>
      </c>
      <c r="D193" s="7" t="s">
        <v>55</v>
      </c>
      <c r="E193" s="7" t="s">
        <v>42</v>
      </c>
      <c r="F193" s="7" t="s">
        <v>42</v>
      </c>
      <c r="G193" s="7">
        <v>2017</v>
      </c>
      <c r="H193" s="7" t="str">
        <f>CONCATENATE("14270345334")</f>
        <v>14270345334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CONCATENATE("4 4.3 2a")</f>
        <v>4 4.3 2a</v>
      </c>
      <c r="M193" s="7" t="str">
        <f>CONCATENATE("00224000430")</f>
        <v>00224000430</v>
      </c>
      <c r="N193" s="7" t="s">
        <v>333</v>
      </c>
      <c r="O193" s="7" t="s">
        <v>334</v>
      </c>
      <c r="P193" s="8">
        <v>44543</v>
      </c>
      <c r="Q193" s="7" t="s">
        <v>32</v>
      </c>
      <c r="R193" s="7" t="s">
        <v>46</v>
      </c>
      <c r="S193" s="7" t="s">
        <v>34</v>
      </c>
      <c r="T193" s="7"/>
      <c r="U193" s="7" t="s">
        <v>35</v>
      </c>
      <c r="V193" s="9">
        <v>24978.93</v>
      </c>
      <c r="W193" s="9">
        <v>10770.91</v>
      </c>
      <c r="X193" s="9">
        <v>9946.61</v>
      </c>
      <c r="Y193" s="7">
        <v>0</v>
      </c>
      <c r="Z193" s="9">
        <v>4261.41</v>
      </c>
    </row>
    <row r="194" spans="1:26" x14ac:dyDescent="0.35">
      <c r="A194" s="7" t="s">
        <v>27</v>
      </c>
      <c r="B194" s="7" t="s">
        <v>28</v>
      </c>
      <c r="C194" s="7" t="s">
        <v>50</v>
      </c>
      <c r="D194" s="7" t="s">
        <v>51</v>
      </c>
      <c r="E194" s="7" t="s">
        <v>42</v>
      </c>
      <c r="F194" s="7" t="s">
        <v>42</v>
      </c>
      <c r="G194" s="7">
        <v>2017</v>
      </c>
      <c r="H194" s="7" t="str">
        <f>CONCATENATE("14270345318")</f>
        <v>14270345318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CONCATENATE("4 4.3 2a")</f>
        <v>4 4.3 2a</v>
      </c>
      <c r="M194" s="7" t="str">
        <f>CONCATENATE("00221260433")</f>
        <v>00221260433</v>
      </c>
      <c r="N194" s="7" t="s">
        <v>335</v>
      </c>
      <c r="O194" s="7" t="s">
        <v>336</v>
      </c>
      <c r="P194" s="8">
        <v>44543</v>
      </c>
      <c r="Q194" s="7" t="s">
        <v>32</v>
      </c>
      <c r="R194" s="7" t="s">
        <v>46</v>
      </c>
      <c r="S194" s="7" t="s">
        <v>34</v>
      </c>
      <c r="T194" s="7"/>
      <c r="U194" s="7" t="s">
        <v>35</v>
      </c>
      <c r="V194" s="9">
        <v>109118.72</v>
      </c>
      <c r="W194" s="9">
        <v>47051.99</v>
      </c>
      <c r="X194" s="9">
        <v>43451.07</v>
      </c>
      <c r="Y194" s="7">
        <v>0</v>
      </c>
      <c r="Z194" s="9">
        <v>18615.66</v>
      </c>
    </row>
    <row r="195" spans="1:26" x14ac:dyDescent="0.35">
      <c r="A195" s="7" t="s">
        <v>27</v>
      </c>
      <c r="B195" s="7" t="s">
        <v>28</v>
      </c>
      <c r="C195" s="7" t="s">
        <v>50</v>
      </c>
      <c r="D195" s="7" t="s">
        <v>51</v>
      </c>
      <c r="E195" s="7" t="s">
        <v>42</v>
      </c>
      <c r="F195" s="7" t="s">
        <v>42</v>
      </c>
      <c r="G195" s="7">
        <v>2017</v>
      </c>
      <c r="H195" s="7" t="str">
        <f>CONCATENATE("04270233853")</f>
        <v>04270233853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CONCATENATE("4 4.1 2a")</f>
        <v>4 4.1 2a</v>
      </c>
      <c r="M195" s="7" t="str">
        <f>CONCATENATE("KRSSFN78C42Z133T")</f>
        <v>KRSSFN78C42Z133T</v>
      </c>
      <c r="N195" s="7" t="s">
        <v>337</v>
      </c>
      <c r="O195" s="7" t="s">
        <v>338</v>
      </c>
      <c r="P195" s="8">
        <v>44545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9">
        <v>14932.01</v>
      </c>
      <c r="W195" s="9">
        <v>6438.68</v>
      </c>
      <c r="X195" s="9">
        <v>5945.93</v>
      </c>
      <c r="Y195" s="7">
        <v>0</v>
      </c>
      <c r="Z195" s="9">
        <v>2547.4</v>
      </c>
    </row>
    <row r="196" spans="1:26" x14ac:dyDescent="0.35">
      <c r="A196" s="7" t="s">
        <v>27</v>
      </c>
      <c r="B196" s="7" t="s">
        <v>28</v>
      </c>
      <c r="C196" s="7" t="s">
        <v>50</v>
      </c>
      <c r="D196" s="7" t="s">
        <v>59</v>
      </c>
      <c r="E196" s="7" t="s">
        <v>42</v>
      </c>
      <c r="F196" s="7" t="s">
        <v>42</v>
      </c>
      <c r="G196" s="7">
        <v>2017</v>
      </c>
      <c r="H196" s="7" t="str">
        <f>CONCATENATE("14270348171")</f>
        <v>14270348171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CONCATENATE("4 4.1 2a")</f>
        <v>4 4.1 2a</v>
      </c>
      <c r="M196" s="7" t="str">
        <f>CONCATENATE("02287980441")</f>
        <v>02287980441</v>
      </c>
      <c r="N196" s="7" t="s">
        <v>339</v>
      </c>
      <c r="O196" s="7" t="s">
        <v>313</v>
      </c>
      <c r="P196" s="8">
        <v>44545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9">
        <v>1921.07</v>
      </c>
      <c r="W196" s="7">
        <v>828.37</v>
      </c>
      <c r="X196" s="7">
        <v>764.97</v>
      </c>
      <c r="Y196" s="7">
        <v>0</v>
      </c>
      <c r="Z196" s="7">
        <v>327.73</v>
      </c>
    </row>
    <row r="197" spans="1:26" x14ac:dyDescent="0.35">
      <c r="A197" s="7" t="s">
        <v>27</v>
      </c>
      <c r="B197" s="7" t="s">
        <v>28</v>
      </c>
      <c r="C197" s="7" t="s">
        <v>50</v>
      </c>
      <c r="D197" s="7" t="s">
        <v>59</v>
      </c>
      <c r="E197" s="7" t="s">
        <v>38</v>
      </c>
      <c r="F197" s="7" t="s">
        <v>340</v>
      </c>
      <c r="G197" s="7">
        <v>2017</v>
      </c>
      <c r="H197" s="7" t="str">
        <f>CONCATENATE("14270348197")</f>
        <v>14270348197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CONCATENATE("4 4.1 2a")</f>
        <v>4 4.1 2a</v>
      </c>
      <c r="M197" s="7" t="str">
        <f>CONCATENATE("CSSGNI62A04F501K")</f>
        <v>CSSGNI62A04F501K</v>
      </c>
      <c r="N197" s="7" t="s">
        <v>341</v>
      </c>
      <c r="O197" s="7" t="s">
        <v>313</v>
      </c>
      <c r="P197" s="8">
        <v>44545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9">
        <v>131435.19</v>
      </c>
      <c r="W197" s="9">
        <v>56674.85</v>
      </c>
      <c r="X197" s="9">
        <v>52337.49</v>
      </c>
      <c r="Y197" s="7">
        <v>0</v>
      </c>
      <c r="Z197" s="9">
        <v>22422.85</v>
      </c>
    </row>
    <row r="198" spans="1:26" ht="17.5" x14ac:dyDescent="0.35">
      <c r="A198" s="7" t="s">
        <v>27</v>
      </c>
      <c r="B198" s="7" t="s">
        <v>43</v>
      </c>
      <c r="C198" s="7" t="s">
        <v>50</v>
      </c>
      <c r="D198" s="7" t="s">
        <v>55</v>
      </c>
      <c r="E198" s="7" t="s">
        <v>38</v>
      </c>
      <c r="F198" s="7" t="s">
        <v>78</v>
      </c>
      <c r="G198" s="7">
        <v>2021</v>
      </c>
      <c r="H198" s="7" t="str">
        <f>CONCATENATE("14211130274")</f>
        <v>14211130274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CONCATENATE("12 12.1 4a")</f>
        <v>12 12.1 4a</v>
      </c>
      <c r="M198" s="7" t="str">
        <f>CONCATENATE("00328980412")</f>
        <v>00328980412</v>
      </c>
      <c r="N198" s="7" t="s">
        <v>254</v>
      </c>
      <c r="O198" s="7" t="s">
        <v>342</v>
      </c>
      <c r="P198" s="8">
        <v>44544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9">
        <v>10839.34</v>
      </c>
      <c r="W198" s="9">
        <v>4673.92</v>
      </c>
      <c r="X198" s="9">
        <v>4316.2299999999996</v>
      </c>
      <c r="Y198" s="7">
        <v>0</v>
      </c>
      <c r="Z198" s="9">
        <v>1849.19</v>
      </c>
    </row>
    <row r="199" spans="1:26" x14ac:dyDescent="0.35">
      <c r="A199" s="7" t="s">
        <v>27</v>
      </c>
      <c r="B199" s="7" t="s">
        <v>28</v>
      </c>
      <c r="C199" s="7" t="s">
        <v>50</v>
      </c>
      <c r="D199" s="7" t="s">
        <v>95</v>
      </c>
      <c r="E199" s="7" t="s">
        <v>42</v>
      </c>
      <c r="F199" s="7" t="s">
        <v>42</v>
      </c>
      <c r="G199" s="7">
        <v>2017</v>
      </c>
      <c r="H199" s="7" t="str">
        <f>CONCATENATE("14270341614")</f>
        <v>14270341614</v>
      </c>
      <c r="I199" s="7" t="s">
        <v>40</v>
      </c>
      <c r="J199" s="7" t="s">
        <v>31</v>
      </c>
      <c r="K199" s="7" t="str">
        <f>CONCATENATE("")</f>
        <v/>
      </c>
      <c r="L199" s="7" t="str">
        <f>CONCATENATE("4 4.1 2a")</f>
        <v>4 4.1 2a</v>
      </c>
      <c r="M199" s="7" t="str">
        <f>CONCATENATE("01914370430")</f>
        <v>01914370430</v>
      </c>
      <c r="N199" s="7" t="s">
        <v>96</v>
      </c>
      <c r="O199" s="7" t="s">
        <v>343</v>
      </c>
      <c r="P199" s="8">
        <v>44540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9">
        <v>25170.38</v>
      </c>
      <c r="W199" s="9">
        <v>10853.47</v>
      </c>
      <c r="X199" s="9">
        <v>10022.85</v>
      </c>
      <c r="Y199" s="7">
        <v>0</v>
      </c>
      <c r="Z199" s="9">
        <v>4294.0600000000004</v>
      </c>
    </row>
    <row r="200" spans="1:26" x14ac:dyDescent="0.35">
      <c r="A200" s="7" t="s">
        <v>27</v>
      </c>
      <c r="B200" s="7" t="s">
        <v>28</v>
      </c>
      <c r="C200" s="7" t="s">
        <v>50</v>
      </c>
      <c r="D200" s="7" t="s">
        <v>51</v>
      </c>
      <c r="E200" s="7" t="s">
        <v>42</v>
      </c>
      <c r="F200" s="7" t="s">
        <v>42</v>
      </c>
      <c r="G200" s="7">
        <v>2017</v>
      </c>
      <c r="H200" s="7" t="str">
        <f>CONCATENATE("14270340913")</f>
        <v>14270340913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CONCATENATE("20 20.1 ")</f>
        <v xml:space="preserve">20 20.1 </v>
      </c>
      <c r="M200" s="7" t="str">
        <f>CONCATENATE("80008630420")</f>
        <v>80008630420</v>
      </c>
      <c r="N200" s="7" t="s">
        <v>344</v>
      </c>
      <c r="O200" s="7" t="s">
        <v>345</v>
      </c>
      <c r="P200" s="8">
        <v>44540</v>
      </c>
      <c r="Q200" s="7" t="s">
        <v>32</v>
      </c>
      <c r="R200" s="7" t="s">
        <v>47</v>
      </c>
      <c r="S200" s="7" t="s">
        <v>34</v>
      </c>
      <c r="T200" s="7"/>
      <c r="U200" s="7" t="s">
        <v>35</v>
      </c>
      <c r="V200" s="9">
        <v>163726.96</v>
      </c>
      <c r="W200" s="9">
        <v>70599.070000000007</v>
      </c>
      <c r="X200" s="9">
        <v>65196.08</v>
      </c>
      <c r="Y200" s="7">
        <v>0</v>
      </c>
      <c r="Z200" s="9">
        <v>27931.81</v>
      </c>
    </row>
    <row r="201" spans="1:26" x14ac:dyDescent="0.35">
      <c r="A201" s="7" t="s">
        <v>27</v>
      </c>
      <c r="B201" s="7" t="s">
        <v>28</v>
      </c>
      <c r="C201" s="7" t="s">
        <v>50</v>
      </c>
      <c r="D201" s="7" t="s">
        <v>95</v>
      </c>
      <c r="E201" s="7" t="s">
        <v>42</v>
      </c>
      <c r="F201" s="7" t="s">
        <v>42</v>
      </c>
      <c r="G201" s="7">
        <v>2017</v>
      </c>
      <c r="H201" s="7" t="str">
        <f>CONCATENATE("14270348163")</f>
        <v>14270348163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CONCATENATE("4 4.1 2a")</f>
        <v>4 4.1 2a</v>
      </c>
      <c r="M201" s="7" t="str">
        <f>CONCATENATE("QCQLFR48P16I651P")</f>
        <v>QCQLFR48P16I651P</v>
      </c>
      <c r="N201" s="7" t="s">
        <v>346</v>
      </c>
      <c r="O201" s="7" t="s">
        <v>313</v>
      </c>
      <c r="P201" s="8">
        <v>44545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9">
        <v>4171.5</v>
      </c>
      <c r="W201" s="9">
        <v>1798.75</v>
      </c>
      <c r="X201" s="9">
        <v>1661.09</v>
      </c>
      <c r="Y201" s="7">
        <v>0</v>
      </c>
      <c r="Z201" s="7">
        <v>711.66</v>
      </c>
    </row>
    <row r="202" spans="1:26" x14ac:dyDescent="0.35">
      <c r="A202" s="7" t="s">
        <v>27</v>
      </c>
      <c r="B202" s="7" t="s">
        <v>28</v>
      </c>
      <c r="C202" s="7" t="s">
        <v>50</v>
      </c>
      <c r="D202" s="7" t="s">
        <v>95</v>
      </c>
      <c r="E202" s="7" t="s">
        <v>29</v>
      </c>
      <c r="F202" s="7" t="s">
        <v>298</v>
      </c>
      <c r="G202" s="7">
        <v>2017</v>
      </c>
      <c r="H202" s="7" t="str">
        <f>CONCATENATE("14270348155")</f>
        <v>14270348155</v>
      </c>
      <c r="I202" s="7" t="s">
        <v>30</v>
      </c>
      <c r="J202" s="7" t="s">
        <v>31</v>
      </c>
      <c r="K202" s="7" t="str">
        <f>CONCATENATE("")</f>
        <v/>
      </c>
      <c r="L202" s="7" t="str">
        <f>CONCATENATE("4 4.4 4c")</f>
        <v>4 4.4 4c</v>
      </c>
      <c r="M202" s="7" t="str">
        <f>CONCATENATE("MSLGLI61B20L992T")</f>
        <v>MSLGLI61B20L992T</v>
      </c>
      <c r="N202" s="7" t="s">
        <v>347</v>
      </c>
      <c r="O202" s="7" t="s">
        <v>315</v>
      </c>
      <c r="P202" s="8">
        <v>44545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9">
        <v>1436.8</v>
      </c>
      <c r="W202" s="7">
        <v>619.54999999999995</v>
      </c>
      <c r="X202" s="7">
        <v>572.13</v>
      </c>
      <c r="Y202" s="7">
        <v>0</v>
      </c>
      <c r="Z202" s="7">
        <v>245.12</v>
      </c>
    </row>
    <row r="203" spans="1:26" x14ac:dyDescent="0.35">
      <c r="A203" s="7" t="s">
        <v>27</v>
      </c>
      <c r="B203" s="7" t="s">
        <v>43</v>
      </c>
      <c r="C203" s="7" t="s">
        <v>50</v>
      </c>
      <c r="D203" s="7" t="s">
        <v>55</v>
      </c>
      <c r="E203" s="7" t="s">
        <v>29</v>
      </c>
      <c r="F203" s="7" t="s">
        <v>56</v>
      </c>
      <c r="G203" s="7">
        <v>2021</v>
      </c>
      <c r="H203" s="7" t="str">
        <f>CONCATENATE("14241160978")</f>
        <v>14241160978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CONCATENATE("11 11.2 4b")</f>
        <v>11 11.2 4b</v>
      </c>
      <c r="M203" s="7" t="str">
        <f>CONCATENATE("02727640415")</f>
        <v>02727640415</v>
      </c>
      <c r="N203" s="7" t="s">
        <v>348</v>
      </c>
      <c r="O203" s="7" t="s">
        <v>349</v>
      </c>
      <c r="P203" s="8">
        <v>44540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7">
        <v>666.29</v>
      </c>
      <c r="W203" s="7">
        <v>287.3</v>
      </c>
      <c r="X203" s="7">
        <v>265.32</v>
      </c>
      <c r="Y203" s="7">
        <v>0</v>
      </c>
      <c r="Z203" s="7">
        <v>113.67</v>
      </c>
    </row>
    <row r="204" spans="1:26" x14ac:dyDescent="0.35">
      <c r="A204" s="7" t="s">
        <v>27</v>
      </c>
      <c r="B204" s="7" t="s">
        <v>43</v>
      </c>
      <c r="C204" s="7" t="s">
        <v>50</v>
      </c>
      <c r="D204" s="7" t="s">
        <v>55</v>
      </c>
      <c r="E204" s="7" t="s">
        <v>41</v>
      </c>
      <c r="F204" s="7" t="s">
        <v>73</v>
      </c>
      <c r="G204" s="7">
        <v>2021</v>
      </c>
      <c r="H204" s="7" t="str">
        <f>CONCATENATE("14240576661")</f>
        <v>14240576661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CONCATENATE("11 11.2 4b")</f>
        <v>11 11.2 4b</v>
      </c>
      <c r="M204" s="7" t="str">
        <f>CONCATENATE("SCLGRG62A16I459L")</f>
        <v>SCLGRG62A16I459L</v>
      </c>
      <c r="N204" s="7" t="s">
        <v>350</v>
      </c>
      <c r="O204" s="7" t="s">
        <v>351</v>
      </c>
      <c r="P204" s="8">
        <v>44543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7">
        <v>643.79999999999995</v>
      </c>
      <c r="W204" s="7">
        <v>277.61</v>
      </c>
      <c r="X204" s="7">
        <v>256.36</v>
      </c>
      <c r="Y204" s="7">
        <v>0</v>
      </c>
      <c r="Z204" s="7">
        <v>109.83</v>
      </c>
    </row>
    <row r="205" spans="1:26" x14ac:dyDescent="0.35">
      <c r="A205" s="7" t="s">
        <v>27</v>
      </c>
      <c r="B205" s="7" t="s">
        <v>43</v>
      </c>
      <c r="C205" s="7" t="s">
        <v>50</v>
      </c>
      <c r="D205" s="7" t="s">
        <v>55</v>
      </c>
      <c r="E205" s="7" t="s">
        <v>29</v>
      </c>
      <c r="F205" s="7" t="s">
        <v>180</v>
      </c>
      <c r="G205" s="7">
        <v>2021</v>
      </c>
      <c r="H205" s="7" t="str">
        <f>CONCATENATE("14240318478")</f>
        <v>14240318478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CONCATENATE("11 11.2 4b")</f>
        <v>11 11.2 4b</v>
      </c>
      <c r="M205" s="7" t="str">
        <f>CONCATENATE("CNNMRT93A42L500G")</f>
        <v>CNNMRT93A42L500G</v>
      </c>
      <c r="N205" s="7" t="s">
        <v>352</v>
      </c>
      <c r="O205" s="7" t="s">
        <v>351</v>
      </c>
      <c r="P205" s="8">
        <v>44543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7">
        <v>356.81</v>
      </c>
      <c r="W205" s="7">
        <v>153.86000000000001</v>
      </c>
      <c r="X205" s="7">
        <v>142.08000000000001</v>
      </c>
      <c r="Y205" s="7">
        <v>0</v>
      </c>
      <c r="Z205" s="7">
        <v>60.87</v>
      </c>
    </row>
    <row r="206" spans="1:26" x14ac:dyDescent="0.35">
      <c r="A206" s="7" t="s">
        <v>27</v>
      </c>
      <c r="B206" s="7" t="s">
        <v>43</v>
      </c>
      <c r="C206" s="7" t="s">
        <v>50</v>
      </c>
      <c r="D206" s="7" t="s">
        <v>55</v>
      </c>
      <c r="E206" s="7" t="s">
        <v>29</v>
      </c>
      <c r="F206" s="7" t="s">
        <v>67</v>
      </c>
      <c r="G206" s="7">
        <v>2021</v>
      </c>
      <c r="H206" s="7" t="str">
        <f>CONCATENATE("14240899568")</f>
        <v>14240899568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CONCATENATE("11 11.2 4b")</f>
        <v>11 11.2 4b</v>
      </c>
      <c r="M206" s="7" t="str">
        <f>CONCATENATE("01337820417")</f>
        <v>01337820417</v>
      </c>
      <c r="N206" s="7" t="s">
        <v>353</v>
      </c>
      <c r="O206" s="7" t="s">
        <v>351</v>
      </c>
      <c r="P206" s="8">
        <v>44543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9">
        <v>4890.49</v>
      </c>
      <c r="W206" s="9">
        <v>2108.7800000000002</v>
      </c>
      <c r="X206" s="9">
        <v>1947.39</v>
      </c>
      <c r="Y206" s="7">
        <v>0</v>
      </c>
      <c r="Z206" s="7">
        <v>834.32</v>
      </c>
    </row>
    <row r="207" spans="1:26" x14ac:dyDescent="0.35">
      <c r="A207" s="7" t="s">
        <v>27</v>
      </c>
      <c r="B207" s="7" t="s">
        <v>28</v>
      </c>
      <c r="C207" s="7" t="s">
        <v>50</v>
      </c>
      <c r="D207" s="7" t="s">
        <v>59</v>
      </c>
      <c r="E207" s="7" t="s">
        <v>44</v>
      </c>
      <c r="F207" s="7" t="s">
        <v>82</v>
      </c>
      <c r="G207" s="7">
        <v>2017</v>
      </c>
      <c r="H207" s="7" t="str">
        <f>CONCATENATE("14270337505")</f>
        <v>14270337505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CONCATENATE("4 4.1 2a")</f>
        <v>4 4.1 2a</v>
      </c>
      <c r="M207" s="7" t="str">
        <f>CONCATENATE("CHRPLA68P29H769J")</f>
        <v>CHRPLA68P29H769J</v>
      </c>
      <c r="N207" s="7" t="s">
        <v>354</v>
      </c>
      <c r="O207" s="7" t="s">
        <v>355</v>
      </c>
      <c r="P207" s="8">
        <v>44543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9">
        <v>29876</v>
      </c>
      <c r="W207" s="9">
        <v>12882.53</v>
      </c>
      <c r="X207" s="9">
        <v>11896.62</v>
      </c>
      <c r="Y207" s="7">
        <v>0</v>
      </c>
      <c r="Z207" s="9">
        <v>5096.8500000000004</v>
      </c>
    </row>
    <row r="208" spans="1:26" x14ac:dyDescent="0.35">
      <c r="A208" s="7" t="s">
        <v>27</v>
      </c>
      <c r="B208" s="7" t="s">
        <v>43</v>
      </c>
      <c r="C208" s="7" t="s">
        <v>50</v>
      </c>
      <c r="D208" s="7" t="s">
        <v>55</v>
      </c>
      <c r="E208" s="7" t="s">
        <v>36</v>
      </c>
      <c r="F208" s="7" t="s">
        <v>226</v>
      </c>
      <c r="G208" s="7">
        <v>2021</v>
      </c>
      <c r="H208" s="7" t="str">
        <f>CONCATENATE("14241172692")</f>
        <v>14241172692</v>
      </c>
      <c r="I208" s="7" t="s">
        <v>30</v>
      </c>
      <c r="J208" s="7" t="s">
        <v>31</v>
      </c>
      <c r="K208" s="7" t="str">
        <f>CONCATENATE("")</f>
        <v/>
      </c>
      <c r="L208" s="7" t="str">
        <f>CONCATENATE("11 11.2 4b")</f>
        <v>11 11.2 4b</v>
      </c>
      <c r="M208" s="7" t="str">
        <f>CONCATENATE("CVRFNC57D25G479Q")</f>
        <v>CVRFNC57D25G479Q</v>
      </c>
      <c r="N208" s="7" t="s">
        <v>356</v>
      </c>
      <c r="O208" s="7" t="s">
        <v>349</v>
      </c>
      <c r="P208" s="8">
        <v>44540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9">
        <v>1444.61</v>
      </c>
      <c r="W208" s="7">
        <v>622.91999999999996</v>
      </c>
      <c r="X208" s="7">
        <v>575.24</v>
      </c>
      <c r="Y208" s="7">
        <v>0</v>
      </c>
      <c r="Z208" s="7">
        <v>246.45</v>
      </c>
    </row>
    <row r="209" spans="1:26" x14ac:dyDescent="0.35">
      <c r="A209" s="7" t="s">
        <v>27</v>
      </c>
      <c r="B209" s="7" t="s">
        <v>43</v>
      </c>
      <c r="C209" s="7" t="s">
        <v>50</v>
      </c>
      <c r="D209" s="7" t="s">
        <v>55</v>
      </c>
      <c r="E209" s="7" t="s">
        <v>29</v>
      </c>
      <c r="F209" s="7" t="s">
        <v>91</v>
      </c>
      <c r="G209" s="7">
        <v>2021</v>
      </c>
      <c r="H209" s="7" t="str">
        <f>CONCATENATE("14240891649")</f>
        <v>14240891649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CONCATENATE("11 11.2 4b")</f>
        <v>11 11.2 4b</v>
      </c>
      <c r="M209" s="7" t="str">
        <f>CONCATENATE("PLTFPP76H12F347A")</f>
        <v>PLTFPP76H12F347A</v>
      </c>
      <c r="N209" s="7" t="s">
        <v>357</v>
      </c>
      <c r="O209" s="7" t="s">
        <v>349</v>
      </c>
      <c r="P209" s="8">
        <v>44540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9">
        <v>1185.67</v>
      </c>
      <c r="W209" s="7">
        <v>511.26</v>
      </c>
      <c r="X209" s="7">
        <v>472.13</v>
      </c>
      <c r="Y209" s="7">
        <v>0</v>
      </c>
      <c r="Z209" s="7">
        <v>202.28</v>
      </c>
    </row>
    <row r="210" spans="1:26" x14ac:dyDescent="0.35">
      <c r="A210" s="7" t="s">
        <v>27</v>
      </c>
      <c r="B210" s="7" t="s">
        <v>43</v>
      </c>
      <c r="C210" s="7" t="s">
        <v>50</v>
      </c>
      <c r="D210" s="7" t="s">
        <v>55</v>
      </c>
      <c r="E210" s="7" t="s">
        <v>36</v>
      </c>
      <c r="F210" s="7" t="s">
        <v>226</v>
      </c>
      <c r="G210" s="7">
        <v>2021</v>
      </c>
      <c r="H210" s="7" t="str">
        <f>CONCATENATE("14241185033")</f>
        <v>14241185033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CONCATENATE("11 11.2 4b")</f>
        <v>11 11.2 4b</v>
      </c>
      <c r="M210" s="7" t="str">
        <f>CONCATENATE("00617000419")</f>
        <v>00617000419</v>
      </c>
      <c r="N210" s="7" t="s">
        <v>358</v>
      </c>
      <c r="O210" s="7" t="s">
        <v>349</v>
      </c>
      <c r="P210" s="8">
        <v>44540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9">
        <v>6434.36</v>
      </c>
      <c r="W210" s="9">
        <v>2774.5</v>
      </c>
      <c r="X210" s="9">
        <v>2562.16</v>
      </c>
      <c r="Y210" s="7">
        <v>0</v>
      </c>
      <c r="Z210" s="9">
        <v>1097.7</v>
      </c>
    </row>
    <row r="211" spans="1:26" x14ac:dyDescent="0.35">
      <c r="A211" s="7" t="s">
        <v>27</v>
      </c>
      <c r="B211" s="7" t="s">
        <v>43</v>
      </c>
      <c r="C211" s="7" t="s">
        <v>50</v>
      </c>
      <c r="D211" s="7" t="s">
        <v>55</v>
      </c>
      <c r="E211" s="7" t="s">
        <v>38</v>
      </c>
      <c r="F211" s="7" t="s">
        <v>359</v>
      </c>
      <c r="G211" s="7">
        <v>2021</v>
      </c>
      <c r="H211" s="7" t="str">
        <f>CONCATENATE("14240804600")</f>
        <v>14240804600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CONCATENATE("11 11.1 4b")</f>
        <v>11 11.1 4b</v>
      </c>
      <c r="M211" s="7" t="str">
        <f>CONCATENATE("HNTFDR65P12B220H")</f>
        <v>HNTFDR65P12B220H</v>
      </c>
      <c r="N211" s="7" t="s">
        <v>360</v>
      </c>
      <c r="O211" s="7" t="s">
        <v>349</v>
      </c>
      <c r="P211" s="8">
        <v>44540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9">
        <v>1467.49</v>
      </c>
      <c r="W211" s="7">
        <v>632.78</v>
      </c>
      <c r="X211" s="7">
        <v>584.35</v>
      </c>
      <c r="Y211" s="7">
        <v>0</v>
      </c>
      <c r="Z211" s="7">
        <v>250.36</v>
      </c>
    </row>
    <row r="212" spans="1:26" x14ac:dyDescent="0.35">
      <c r="A212" s="7" t="s">
        <v>27</v>
      </c>
      <c r="B212" s="7" t="s">
        <v>43</v>
      </c>
      <c r="C212" s="7" t="s">
        <v>50</v>
      </c>
      <c r="D212" s="7" t="s">
        <v>55</v>
      </c>
      <c r="E212" s="7" t="s">
        <v>29</v>
      </c>
      <c r="F212" s="7" t="s">
        <v>56</v>
      </c>
      <c r="G212" s="7">
        <v>2021</v>
      </c>
      <c r="H212" s="7" t="str">
        <f>CONCATENATE("14240140898")</f>
        <v>14240140898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CONCATENATE("11 11.2 4b")</f>
        <v>11 11.2 4b</v>
      </c>
      <c r="M212" s="7" t="str">
        <f>CONCATENATE("RMTGNN74D27D749J")</f>
        <v>RMTGNN74D27D749J</v>
      </c>
      <c r="N212" s="7" t="s">
        <v>361</v>
      </c>
      <c r="O212" s="7" t="s">
        <v>349</v>
      </c>
      <c r="P212" s="8">
        <v>44540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9">
        <v>28271.53</v>
      </c>
      <c r="W212" s="9">
        <v>12190.68</v>
      </c>
      <c r="X212" s="9">
        <v>11257.72</v>
      </c>
      <c r="Y212" s="7">
        <v>0</v>
      </c>
      <c r="Z212" s="9">
        <v>4823.13</v>
      </c>
    </row>
    <row r="213" spans="1:26" x14ac:dyDescent="0.35">
      <c r="A213" s="7" t="s">
        <v>27</v>
      </c>
      <c r="B213" s="7" t="s">
        <v>43</v>
      </c>
      <c r="C213" s="7" t="s">
        <v>50</v>
      </c>
      <c r="D213" s="7" t="s">
        <v>55</v>
      </c>
      <c r="E213" s="7" t="s">
        <v>36</v>
      </c>
      <c r="F213" s="7" t="s">
        <v>226</v>
      </c>
      <c r="G213" s="7">
        <v>2021</v>
      </c>
      <c r="H213" s="7" t="str">
        <f>CONCATENATE("14241332833")</f>
        <v>14241332833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CONCATENATE("11 11.1 4b")</f>
        <v>11 11.1 4b</v>
      </c>
      <c r="M213" s="7" t="str">
        <f>CONCATENATE("01379100413")</f>
        <v>01379100413</v>
      </c>
      <c r="N213" s="7" t="s">
        <v>362</v>
      </c>
      <c r="O213" s="7" t="s">
        <v>349</v>
      </c>
      <c r="P213" s="8">
        <v>44540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7">
        <v>109.36</v>
      </c>
      <c r="W213" s="7">
        <v>47.16</v>
      </c>
      <c r="X213" s="7">
        <v>43.55</v>
      </c>
      <c r="Y213" s="7">
        <v>0</v>
      </c>
      <c r="Z213" s="7">
        <v>18.649999999999999</v>
      </c>
    </row>
    <row r="214" spans="1:26" x14ac:dyDescent="0.35">
      <c r="A214" s="7" t="s">
        <v>27</v>
      </c>
      <c r="B214" s="7" t="s">
        <v>43</v>
      </c>
      <c r="C214" s="7" t="s">
        <v>50</v>
      </c>
      <c r="D214" s="7" t="s">
        <v>55</v>
      </c>
      <c r="E214" s="7" t="s">
        <v>38</v>
      </c>
      <c r="F214" s="7" t="s">
        <v>363</v>
      </c>
      <c r="G214" s="7">
        <v>2021</v>
      </c>
      <c r="H214" s="7" t="str">
        <f>CONCATENATE("14240893728")</f>
        <v>14240893728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CONCATENATE("11 11.1 4b")</f>
        <v>11 11.1 4b</v>
      </c>
      <c r="M214" s="7" t="str">
        <f>CONCATENATE("00600040414")</f>
        <v>00600040414</v>
      </c>
      <c r="N214" s="7" t="s">
        <v>136</v>
      </c>
      <c r="O214" s="7" t="s">
        <v>349</v>
      </c>
      <c r="P214" s="8">
        <v>44540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7">
        <v>24.4</v>
      </c>
      <c r="W214" s="7">
        <v>10.52</v>
      </c>
      <c r="X214" s="7">
        <v>9.7200000000000006</v>
      </c>
      <c r="Y214" s="7">
        <v>0</v>
      </c>
      <c r="Z214" s="7">
        <v>4.16</v>
      </c>
    </row>
    <row r="215" spans="1:26" x14ac:dyDescent="0.35">
      <c r="A215" s="7" t="s">
        <v>27</v>
      </c>
      <c r="B215" s="7" t="s">
        <v>43</v>
      </c>
      <c r="C215" s="7" t="s">
        <v>50</v>
      </c>
      <c r="D215" s="7" t="s">
        <v>55</v>
      </c>
      <c r="E215" s="7" t="s">
        <v>49</v>
      </c>
      <c r="F215" s="7" t="s">
        <v>232</v>
      </c>
      <c r="G215" s="7">
        <v>2021</v>
      </c>
      <c r="H215" s="7" t="str">
        <f>CONCATENATE("14241208553")</f>
        <v>14241208553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CONCATENATE("11 11.2 4b")</f>
        <v>11 11.2 4b</v>
      </c>
      <c r="M215" s="7" t="str">
        <f>CONCATENATE("RNGRCR80D28G453T")</f>
        <v>RNGRCR80D28G453T</v>
      </c>
      <c r="N215" s="7" t="s">
        <v>364</v>
      </c>
      <c r="O215" s="7" t="s">
        <v>349</v>
      </c>
      <c r="P215" s="8">
        <v>44540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9">
        <v>6453.45</v>
      </c>
      <c r="W215" s="9">
        <v>2782.73</v>
      </c>
      <c r="X215" s="9">
        <v>2569.7600000000002</v>
      </c>
      <c r="Y215" s="7">
        <v>0</v>
      </c>
      <c r="Z215" s="9">
        <v>1100.96</v>
      </c>
    </row>
    <row r="216" spans="1:26" x14ac:dyDescent="0.35">
      <c r="A216" s="7" t="s">
        <v>27</v>
      </c>
      <c r="B216" s="7" t="s">
        <v>43</v>
      </c>
      <c r="C216" s="7" t="s">
        <v>50</v>
      </c>
      <c r="D216" s="7" t="s">
        <v>55</v>
      </c>
      <c r="E216" s="7" t="s">
        <v>36</v>
      </c>
      <c r="F216" s="7" t="s">
        <v>226</v>
      </c>
      <c r="G216" s="7">
        <v>2021</v>
      </c>
      <c r="H216" s="7" t="str">
        <f>CONCATENATE("14241335778")</f>
        <v>14241335778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CONCATENATE("11 11.2 4b")</f>
        <v>11 11.2 4b</v>
      </c>
      <c r="M216" s="7" t="str">
        <f>CONCATENATE("NCLSRA68R02G479B")</f>
        <v>NCLSRA68R02G479B</v>
      </c>
      <c r="N216" s="7" t="s">
        <v>365</v>
      </c>
      <c r="O216" s="7" t="s">
        <v>349</v>
      </c>
      <c r="P216" s="8">
        <v>44540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7">
        <v>293.10000000000002</v>
      </c>
      <c r="W216" s="7">
        <v>126.38</v>
      </c>
      <c r="X216" s="7">
        <v>116.71</v>
      </c>
      <c r="Y216" s="7">
        <v>0</v>
      </c>
      <c r="Z216" s="7">
        <v>50.01</v>
      </c>
    </row>
    <row r="217" spans="1:26" x14ac:dyDescent="0.35">
      <c r="A217" s="7" t="s">
        <v>27</v>
      </c>
      <c r="B217" s="7" t="s">
        <v>43</v>
      </c>
      <c r="C217" s="7" t="s">
        <v>50</v>
      </c>
      <c r="D217" s="7" t="s">
        <v>55</v>
      </c>
      <c r="E217" s="7" t="s">
        <v>29</v>
      </c>
      <c r="F217" s="7" t="s">
        <v>56</v>
      </c>
      <c r="G217" s="7">
        <v>2021</v>
      </c>
      <c r="H217" s="7" t="str">
        <f>CONCATENATE("14240899634")</f>
        <v>14240899634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CONCATENATE("11 11.2 4b")</f>
        <v>11 11.2 4b</v>
      </c>
      <c r="M217" s="7" t="str">
        <f>CONCATENATE("CCCPLA67R27D488P")</f>
        <v>CCCPLA67R27D488P</v>
      </c>
      <c r="N217" s="7" t="s">
        <v>366</v>
      </c>
      <c r="O217" s="7" t="s">
        <v>349</v>
      </c>
      <c r="P217" s="8">
        <v>44540</v>
      </c>
      <c r="Q217" s="7" t="s">
        <v>32</v>
      </c>
      <c r="R217" s="7" t="s">
        <v>33</v>
      </c>
      <c r="S217" s="7" t="s">
        <v>34</v>
      </c>
      <c r="T217" s="7"/>
      <c r="U217" s="7" t="s">
        <v>35</v>
      </c>
      <c r="V217" s="9">
        <v>12468.29</v>
      </c>
      <c r="W217" s="9">
        <v>5376.33</v>
      </c>
      <c r="X217" s="9">
        <v>4964.87</v>
      </c>
      <c r="Y217" s="7">
        <v>0</v>
      </c>
      <c r="Z217" s="9">
        <v>2127.09</v>
      </c>
    </row>
    <row r="218" spans="1:26" x14ac:dyDescent="0.35">
      <c r="A218" s="7" t="s">
        <v>27</v>
      </c>
      <c r="B218" s="7" t="s">
        <v>43</v>
      </c>
      <c r="C218" s="7" t="s">
        <v>50</v>
      </c>
      <c r="D218" s="7" t="s">
        <v>55</v>
      </c>
      <c r="E218" s="7" t="s">
        <v>38</v>
      </c>
      <c r="F218" s="7" t="s">
        <v>78</v>
      </c>
      <c r="G218" s="7">
        <v>2021</v>
      </c>
      <c r="H218" s="7" t="str">
        <f>CONCATENATE("14240594235")</f>
        <v>14240594235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CONCATENATE("11 11.1 4b")</f>
        <v>11 11.1 4b</v>
      </c>
      <c r="M218" s="7" t="str">
        <f>CONCATENATE("GDCFBL66H60G479X")</f>
        <v>GDCFBL66H60G479X</v>
      </c>
      <c r="N218" s="7" t="s">
        <v>367</v>
      </c>
      <c r="O218" s="7" t="s">
        <v>351</v>
      </c>
      <c r="P218" s="8">
        <v>44543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7">
        <v>266.88</v>
      </c>
      <c r="W218" s="7">
        <v>115.08</v>
      </c>
      <c r="X218" s="7">
        <v>106.27</v>
      </c>
      <c r="Y218" s="7">
        <v>0</v>
      </c>
      <c r="Z218" s="7">
        <v>45.53</v>
      </c>
    </row>
    <row r="219" spans="1:26" x14ac:dyDescent="0.35">
      <c r="A219" s="7" t="s">
        <v>27</v>
      </c>
      <c r="B219" s="7" t="s">
        <v>43</v>
      </c>
      <c r="C219" s="7" t="s">
        <v>50</v>
      </c>
      <c r="D219" s="7" t="s">
        <v>55</v>
      </c>
      <c r="E219" s="7" t="s">
        <v>29</v>
      </c>
      <c r="F219" s="7" t="s">
        <v>368</v>
      </c>
      <c r="G219" s="7">
        <v>2021</v>
      </c>
      <c r="H219" s="7" t="str">
        <f>CONCATENATE("14240460858")</f>
        <v>14240460858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CONCATENATE("11 11.2 4b")</f>
        <v>11 11.2 4b</v>
      </c>
      <c r="M219" s="7" t="str">
        <f>CONCATENATE("BCCFNC73B05D488C")</f>
        <v>BCCFNC73B05D488C</v>
      </c>
      <c r="N219" s="7" t="s">
        <v>369</v>
      </c>
      <c r="O219" s="7" t="s">
        <v>351</v>
      </c>
      <c r="P219" s="8">
        <v>44543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7">
        <v>81.88</v>
      </c>
      <c r="W219" s="7">
        <v>35.31</v>
      </c>
      <c r="X219" s="7">
        <v>32.6</v>
      </c>
      <c r="Y219" s="7">
        <v>0</v>
      </c>
      <c r="Z219" s="7">
        <v>13.97</v>
      </c>
    </row>
    <row r="220" spans="1:26" x14ac:dyDescent="0.35">
      <c r="A220" s="7" t="s">
        <v>27</v>
      </c>
      <c r="B220" s="7" t="s">
        <v>43</v>
      </c>
      <c r="C220" s="7" t="s">
        <v>50</v>
      </c>
      <c r="D220" s="7" t="s">
        <v>55</v>
      </c>
      <c r="E220" s="7" t="s">
        <v>38</v>
      </c>
      <c r="F220" s="7" t="s">
        <v>178</v>
      </c>
      <c r="G220" s="7">
        <v>2021</v>
      </c>
      <c r="H220" s="7" t="str">
        <f>CONCATENATE("14241273946")</f>
        <v>14241273946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CONCATENATE("11 11.2 4b")</f>
        <v>11 11.2 4b</v>
      </c>
      <c r="M220" s="7" t="str">
        <f>CONCATENATE("CRDMNL97M21G916H")</f>
        <v>CRDMNL97M21G916H</v>
      </c>
      <c r="N220" s="7" t="s">
        <v>370</v>
      </c>
      <c r="O220" s="7" t="s">
        <v>351</v>
      </c>
      <c r="P220" s="8">
        <v>44543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9">
        <v>3116.85</v>
      </c>
      <c r="W220" s="9">
        <v>1343.99</v>
      </c>
      <c r="X220" s="9">
        <v>1241.1300000000001</v>
      </c>
      <c r="Y220" s="7">
        <v>0</v>
      </c>
      <c r="Z220" s="7">
        <v>531.73</v>
      </c>
    </row>
    <row r="221" spans="1:26" x14ac:dyDescent="0.35">
      <c r="A221" s="7" t="s">
        <v>27</v>
      </c>
      <c r="B221" s="7" t="s">
        <v>43</v>
      </c>
      <c r="C221" s="7" t="s">
        <v>50</v>
      </c>
      <c r="D221" s="7" t="s">
        <v>55</v>
      </c>
      <c r="E221" s="7" t="s">
        <v>41</v>
      </c>
      <c r="F221" s="7" t="s">
        <v>98</v>
      </c>
      <c r="G221" s="7">
        <v>2021</v>
      </c>
      <c r="H221" s="7" t="str">
        <f>CONCATENATE("14241129130")</f>
        <v>14241129130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CONCATENATE("11 11.2 4b")</f>
        <v>11 11.2 4b</v>
      </c>
      <c r="M221" s="7" t="str">
        <f>CONCATENATE("02746840418")</f>
        <v>02746840418</v>
      </c>
      <c r="N221" s="7" t="s">
        <v>371</v>
      </c>
      <c r="O221" s="7" t="s">
        <v>351</v>
      </c>
      <c r="P221" s="8">
        <v>44543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9">
        <v>2283.79</v>
      </c>
      <c r="W221" s="7">
        <v>984.77</v>
      </c>
      <c r="X221" s="7">
        <v>909.41</v>
      </c>
      <c r="Y221" s="7">
        <v>0</v>
      </c>
      <c r="Z221" s="7">
        <v>389.61</v>
      </c>
    </row>
    <row r="222" spans="1:26" x14ac:dyDescent="0.35">
      <c r="A222" s="7" t="s">
        <v>27</v>
      </c>
      <c r="B222" s="7" t="s">
        <v>43</v>
      </c>
      <c r="C222" s="7" t="s">
        <v>50</v>
      </c>
      <c r="D222" s="7" t="s">
        <v>55</v>
      </c>
      <c r="E222" s="7" t="s">
        <v>41</v>
      </c>
      <c r="F222" s="7" t="s">
        <v>98</v>
      </c>
      <c r="G222" s="7">
        <v>2021</v>
      </c>
      <c r="H222" s="7" t="str">
        <f>CONCATENATE("14240574559")</f>
        <v>14240574559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CONCATENATE("11 11.2 4b")</f>
        <v>11 11.2 4b</v>
      </c>
      <c r="M222" s="7" t="str">
        <f>CONCATENATE("SLTMRA60M31I459G")</f>
        <v>SLTMRA60M31I459G</v>
      </c>
      <c r="N222" s="7" t="s">
        <v>372</v>
      </c>
      <c r="O222" s="7" t="s">
        <v>351</v>
      </c>
      <c r="P222" s="8">
        <v>44543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9">
        <v>6954.91</v>
      </c>
      <c r="W222" s="9">
        <v>2998.96</v>
      </c>
      <c r="X222" s="9">
        <v>2769.45</v>
      </c>
      <c r="Y222" s="7">
        <v>0</v>
      </c>
      <c r="Z222" s="9">
        <v>1186.5</v>
      </c>
    </row>
    <row r="223" spans="1:26" ht="17.5" x14ac:dyDescent="0.35">
      <c r="A223" s="7" t="s">
        <v>27</v>
      </c>
      <c r="B223" s="7" t="s">
        <v>43</v>
      </c>
      <c r="C223" s="7" t="s">
        <v>50</v>
      </c>
      <c r="D223" s="7" t="s">
        <v>59</v>
      </c>
      <c r="E223" s="7" t="s">
        <v>42</v>
      </c>
      <c r="F223" s="7" t="s">
        <v>42</v>
      </c>
      <c r="G223" s="7">
        <v>2021</v>
      </c>
      <c r="H223" s="7" t="str">
        <f>CONCATENATE("14240733171")</f>
        <v>14240733171</v>
      </c>
      <c r="I223" s="7" t="s">
        <v>30</v>
      </c>
      <c r="J223" s="7" t="s">
        <v>31</v>
      </c>
      <c r="K223" s="7" t="str">
        <f>CONCATENATE("")</f>
        <v/>
      </c>
      <c r="L223" s="7" t="str">
        <f>CONCATENATE("11 11.2 4b")</f>
        <v>11 11.2 4b</v>
      </c>
      <c r="M223" s="7" t="str">
        <f>CONCATENATE("01511110445")</f>
        <v>01511110445</v>
      </c>
      <c r="N223" s="7" t="s">
        <v>265</v>
      </c>
      <c r="O223" s="7" t="s">
        <v>373</v>
      </c>
      <c r="P223" s="8">
        <v>44544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9">
        <v>112971.13</v>
      </c>
      <c r="W223" s="9">
        <v>48713.15</v>
      </c>
      <c r="X223" s="9">
        <v>44985.1</v>
      </c>
      <c r="Y223" s="7">
        <v>0</v>
      </c>
      <c r="Z223" s="9">
        <v>19272.88</v>
      </c>
    </row>
    <row r="224" spans="1:26" x14ac:dyDescent="0.35">
      <c r="A224" s="7" t="s">
        <v>27</v>
      </c>
      <c r="B224" s="7" t="s">
        <v>43</v>
      </c>
      <c r="C224" s="7" t="s">
        <v>50</v>
      </c>
      <c r="D224" s="7" t="s">
        <v>59</v>
      </c>
      <c r="E224" s="7" t="s">
        <v>36</v>
      </c>
      <c r="F224" s="7" t="s">
        <v>202</v>
      </c>
      <c r="G224" s="7">
        <v>2021</v>
      </c>
      <c r="H224" s="7" t="str">
        <f>CONCATENATE("14240286048")</f>
        <v>14240286048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CONCATENATE("11 11.2 4b")</f>
        <v>11 11.2 4b</v>
      </c>
      <c r="M224" s="7" t="str">
        <f>CONCATENATE("LRARDN58T03D542W")</f>
        <v>LRARDN58T03D542W</v>
      </c>
      <c r="N224" s="7" t="s">
        <v>374</v>
      </c>
      <c r="O224" s="7" t="s">
        <v>373</v>
      </c>
      <c r="P224" s="8">
        <v>44544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7">
        <v>544.02</v>
      </c>
      <c r="W224" s="7">
        <v>234.58</v>
      </c>
      <c r="X224" s="7">
        <v>216.63</v>
      </c>
      <c r="Y224" s="7">
        <v>0</v>
      </c>
      <c r="Z224" s="7">
        <v>92.81</v>
      </c>
    </row>
    <row r="225" spans="1:26" x14ac:dyDescent="0.35">
      <c r="A225" s="7" t="s">
        <v>27</v>
      </c>
      <c r="B225" s="7" t="s">
        <v>43</v>
      </c>
      <c r="C225" s="7" t="s">
        <v>50</v>
      </c>
      <c r="D225" s="7" t="s">
        <v>59</v>
      </c>
      <c r="E225" s="7" t="s">
        <v>29</v>
      </c>
      <c r="F225" s="7" t="s">
        <v>164</v>
      </c>
      <c r="G225" s="7">
        <v>2017</v>
      </c>
      <c r="H225" s="7" t="str">
        <f>CONCATENATE("74241460034")</f>
        <v>74241460034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CONCATENATE("11 11.2 4b")</f>
        <v>11 11.2 4b</v>
      </c>
      <c r="M225" s="7" t="str">
        <f>CONCATENATE("MRRPVN35P09F501F")</f>
        <v>MRRPVN35P09F501F</v>
      </c>
      <c r="N225" s="7" t="s">
        <v>375</v>
      </c>
      <c r="O225" s="7" t="s">
        <v>373</v>
      </c>
      <c r="P225" s="8">
        <v>44544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9">
        <v>4331.75</v>
      </c>
      <c r="W225" s="9">
        <v>1867.85</v>
      </c>
      <c r="X225" s="9">
        <v>1724.9</v>
      </c>
      <c r="Y225" s="7">
        <v>0</v>
      </c>
      <c r="Z225" s="7">
        <v>739</v>
      </c>
    </row>
    <row r="226" spans="1:26" x14ac:dyDescent="0.35">
      <c r="A226" s="7" t="s">
        <v>27</v>
      </c>
      <c r="B226" s="7" t="s">
        <v>43</v>
      </c>
      <c r="C226" s="7" t="s">
        <v>50</v>
      </c>
      <c r="D226" s="7" t="s">
        <v>59</v>
      </c>
      <c r="E226" s="7" t="s">
        <v>29</v>
      </c>
      <c r="F226" s="7" t="s">
        <v>164</v>
      </c>
      <c r="G226" s="7">
        <v>2018</v>
      </c>
      <c r="H226" s="7" t="str">
        <f>CONCATENATE("84241680705")</f>
        <v>84241680705</v>
      </c>
      <c r="I226" s="7" t="s">
        <v>30</v>
      </c>
      <c r="J226" s="7" t="s">
        <v>31</v>
      </c>
      <c r="K226" s="7" t="str">
        <f>CONCATENATE("")</f>
        <v/>
      </c>
      <c r="L226" s="7" t="str">
        <f>CONCATENATE("11 11.2 4b")</f>
        <v>11 11.2 4b</v>
      </c>
      <c r="M226" s="7" t="str">
        <f>CONCATENATE("VRGMRS36P52B727N")</f>
        <v>VRGMRS36P52B727N</v>
      </c>
      <c r="N226" s="7" t="s">
        <v>376</v>
      </c>
      <c r="O226" s="7" t="s">
        <v>373</v>
      </c>
      <c r="P226" s="8">
        <v>44544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9">
        <v>3799.5</v>
      </c>
      <c r="W226" s="9">
        <v>1638.34</v>
      </c>
      <c r="X226" s="9">
        <v>1512.96</v>
      </c>
      <c r="Y226" s="7">
        <v>0</v>
      </c>
      <c r="Z226" s="7">
        <v>648.20000000000005</v>
      </c>
    </row>
    <row r="227" spans="1:26" x14ac:dyDescent="0.35">
      <c r="A227" s="7" t="s">
        <v>27</v>
      </c>
      <c r="B227" s="7" t="s">
        <v>43</v>
      </c>
      <c r="C227" s="7" t="s">
        <v>50</v>
      </c>
      <c r="D227" s="7" t="s">
        <v>59</v>
      </c>
      <c r="E227" s="7" t="s">
        <v>39</v>
      </c>
      <c r="F227" s="7" t="s">
        <v>377</v>
      </c>
      <c r="G227" s="7">
        <v>2021</v>
      </c>
      <c r="H227" s="7" t="str">
        <f>CONCATENATE("14241345736")</f>
        <v>14241345736</v>
      </c>
      <c r="I227" s="7" t="s">
        <v>30</v>
      </c>
      <c r="J227" s="7" t="s">
        <v>31</v>
      </c>
      <c r="K227" s="7" t="str">
        <f>CONCATENATE("")</f>
        <v/>
      </c>
      <c r="L227" s="7" t="str">
        <f>CONCATENATE("11 11.1 4b")</f>
        <v>11 11.1 4b</v>
      </c>
      <c r="M227" s="7" t="str">
        <f>CONCATENATE("02408020440")</f>
        <v>02408020440</v>
      </c>
      <c r="N227" s="7" t="s">
        <v>378</v>
      </c>
      <c r="O227" s="7" t="s">
        <v>373</v>
      </c>
      <c r="P227" s="8">
        <v>44544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7">
        <v>28.97</v>
      </c>
      <c r="W227" s="7">
        <v>12.49</v>
      </c>
      <c r="X227" s="7">
        <v>11.54</v>
      </c>
      <c r="Y227" s="7">
        <v>0</v>
      </c>
      <c r="Z227" s="7">
        <v>4.9400000000000004</v>
      </c>
    </row>
    <row r="228" spans="1:26" x14ac:dyDescent="0.35">
      <c r="A228" s="7" t="s">
        <v>27</v>
      </c>
      <c r="B228" s="7" t="s">
        <v>43</v>
      </c>
      <c r="C228" s="7" t="s">
        <v>50</v>
      </c>
      <c r="D228" s="7" t="s">
        <v>55</v>
      </c>
      <c r="E228" s="7" t="s">
        <v>38</v>
      </c>
      <c r="F228" s="7" t="s">
        <v>78</v>
      </c>
      <c r="G228" s="7">
        <v>2021</v>
      </c>
      <c r="H228" s="7" t="str">
        <f>CONCATENATE("14211196093")</f>
        <v>14211196093</v>
      </c>
      <c r="I228" s="7" t="s">
        <v>30</v>
      </c>
      <c r="J228" s="7" t="s">
        <v>31</v>
      </c>
      <c r="K228" s="7" t="str">
        <f>CONCATENATE("")</f>
        <v/>
      </c>
      <c r="L228" s="7" t="str">
        <f>CONCATENATE("12 12.1 4a")</f>
        <v>12 12.1 4a</v>
      </c>
      <c r="M228" s="7" t="str">
        <f>CONCATENATE("00170370415")</f>
        <v>00170370415</v>
      </c>
      <c r="N228" s="7" t="s">
        <v>291</v>
      </c>
      <c r="O228" s="7" t="s">
        <v>379</v>
      </c>
      <c r="P228" s="8">
        <v>44545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9">
        <v>71616.31</v>
      </c>
      <c r="W228" s="9">
        <v>30880.95</v>
      </c>
      <c r="X228" s="9">
        <v>28517.61</v>
      </c>
      <c r="Y228" s="7">
        <v>0</v>
      </c>
      <c r="Z228" s="9">
        <v>12217.75</v>
      </c>
    </row>
    <row r="229" spans="1:26" x14ac:dyDescent="0.35">
      <c r="A229" s="7" t="s">
        <v>27</v>
      </c>
      <c r="B229" s="7" t="s">
        <v>43</v>
      </c>
      <c r="C229" s="7" t="s">
        <v>50</v>
      </c>
      <c r="D229" s="7" t="s">
        <v>55</v>
      </c>
      <c r="E229" s="7" t="s">
        <v>38</v>
      </c>
      <c r="F229" s="7" t="s">
        <v>78</v>
      </c>
      <c r="G229" s="7">
        <v>2021</v>
      </c>
      <c r="H229" s="7" t="str">
        <f>CONCATENATE("14210859154")</f>
        <v>14210859154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CONCATENATE("12 12.1 4a")</f>
        <v>12 12.1 4a</v>
      </c>
      <c r="M229" s="7" t="str">
        <f>CONCATENATE("82004090419")</f>
        <v>82004090419</v>
      </c>
      <c r="N229" s="7" t="s">
        <v>255</v>
      </c>
      <c r="O229" s="7" t="s">
        <v>379</v>
      </c>
      <c r="P229" s="8">
        <v>44545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9">
        <v>42363.86</v>
      </c>
      <c r="W229" s="9">
        <v>18267.3</v>
      </c>
      <c r="X229" s="9">
        <v>16869.29</v>
      </c>
      <c r="Y229" s="7">
        <v>0</v>
      </c>
      <c r="Z229" s="9">
        <v>7227.27</v>
      </c>
    </row>
    <row r="230" spans="1:26" x14ac:dyDescent="0.35">
      <c r="A230" s="7" t="s">
        <v>27</v>
      </c>
      <c r="B230" s="7" t="s">
        <v>28</v>
      </c>
      <c r="C230" s="7" t="s">
        <v>50</v>
      </c>
      <c r="D230" s="7" t="s">
        <v>50</v>
      </c>
      <c r="E230" s="7" t="s">
        <v>42</v>
      </c>
      <c r="F230" s="7" t="s">
        <v>42</v>
      </c>
      <c r="G230" s="7">
        <v>2017</v>
      </c>
      <c r="H230" s="7" t="str">
        <f>CONCATENATE("14270341168")</f>
        <v>14270341168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CONCATENATE("19 19.2 6b")</f>
        <v>19 19.2 6b</v>
      </c>
      <c r="M230" s="7" t="str">
        <f>CONCATENATE("00363500448")</f>
        <v>00363500448</v>
      </c>
      <c r="N230" s="7" t="s">
        <v>109</v>
      </c>
      <c r="O230" s="7" t="s">
        <v>380</v>
      </c>
      <c r="P230" s="8">
        <v>44540</v>
      </c>
      <c r="Q230" s="7" t="s">
        <v>32</v>
      </c>
      <c r="R230" s="7" t="s">
        <v>46</v>
      </c>
      <c r="S230" s="7" t="s">
        <v>34</v>
      </c>
      <c r="T230" s="7"/>
      <c r="U230" s="7" t="s">
        <v>35</v>
      </c>
      <c r="V230" s="9">
        <v>26658.35</v>
      </c>
      <c r="W230" s="9">
        <v>11495.08</v>
      </c>
      <c r="X230" s="9">
        <v>10615.35</v>
      </c>
      <c r="Y230" s="7">
        <v>0</v>
      </c>
      <c r="Z230" s="9">
        <v>4547.92</v>
      </c>
    </row>
    <row r="231" spans="1:26" x14ac:dyDescent="0.35">
      <c r="A231" s="7" t="s">
        <v>27</v>
      </c>
      <c r="B231" s="7" t="s">
        <v>28</v>
      </c>
      <c r="C231" s="7" t="s">
        <v>50</v>
      </c>
      <c r="D231" s="7" t="s">
        <v>50</v>
      </c>
      <c r="E231" s="7" t="s">
        <v>42</v>
      </c>
      <c r="F231" s="7" t="s">
        <v>42</v>
      </c>
      <c r="G231" s="7">
        <v>2017</v>
      </c>
      <c r="H231" s="7" t="str">
        <f>CONCATENATE("14270341184")</f>
        <v>14270341184</v>
      </c>
      <c r="I231" s="7" t="s">
        <v>30</v>
      </c>
      <c r="J231" s="7" t="s">
        <v>31</v>
      </c>
      <c r="K231" s="7" t="str">
        <f>CONCATENATE("")</f>
        <v/>
      </c>
      <c r="L231" s="7" t="str">
        <f>CONCATENATE("19 19.2 6b")</f>
        <v>19 19.2 6b</v>
      </c>
      <c r="M231" s="7" t="str">
        <f>CONCATENATE("00377760442")</f>
        <v>00377760442</v>
      </c>
      <c r="N231" s="7" t="s">
        <v>381</v>
      </c>
      <c r="O231" s="7" t="s">
        <v>380</v>
      </c>
      <c r="P231" s="8">
        <v>44540</v>
      </c>
      <c r="Q231" s="7" t="s">
        <v>32</v>
      </c>
      <c r="R231" s="7" t="s">
        <v>46</v>
      </c>
      <c r="S231" s="7" t="s">
        <v>34</v>
      </c>
      <c r="T231" s="7"/>
      <c r="U231" s="7" t="s">
        <v>35</v>
      </c>
      <c r="V231" s="9">
        <v>27000</v>
      </c>
      <c r="W231" s="9">
        <v>11642.4</v>
      </c>
      <c r="X231" s="9">
        <v>10751.4</v>
      </c>
      <c r="Y231" s="7">
        <v>0</v>
      </c>
      <c r="Z231" s="9">
        <v>4606.2</v>
      </c>
    </row>
    <row r="232" spans="1:26" x14ac:dyDescent="0.35">
      <c r="A232" s="7" t="s">
        <v>27</v>
      </c>
      <c r="B232" s="7" t="s">
        <v>28</v>
      </c>
      <c r="C232" s="7" t="s">
        <v>50</v>
      </c>
      <c r="D232" s="7" t="s">
        <v>50</v>
      </c>
      <c r="E232" s="7" t="s">
        <v>44</v>
      </c>
      <c r="F232" s="7" t="s">
        <v>82</v>
      </c>
      <c r="G232" s="7">
        <v>2017</v>
      </c>
      <c r="H232" s="7" t="str">
        <f>CONCATENATE("14270341176")</f>
        <v>14270341176</v>
      </c>
      <c r="I232" s="7" t="s">
        <v>30</v>
      </c>
      <c r="J232" s="7" t="s">
        <v>31</v>
      </c>
      <c r="K232" s="7" t="str">
        <f>CONCATENATE("")</f>
        <v/>
      </c>
      <c r="L232" s="7" t="str">
        <f>CONCATENATE("19 19.2 6b")</f>
        <v>19 19.2 6b</v>
      </c>
      <c r="M232" s="7" t="str">
        <f>CONCATENATE("00136120441")</f>
        <v>00136120441</v>
      </c>
      <c r="N232" s="7" t="s">
        <v>382</v>
      </c>
      <c r="O232" s="7" t="s">
        <v>380</v>
      </c>
      <c r="P232" s="8">
        <v>44540</v>
      </c>
      <c r="Q232" s="7" t="s">
        <v>32</v>
      </c>
      <c r="R232" s="7" t="s">
        <v>46</v>
      </c>
      <c r="S232" s="7" t="s">
        <v>34</v>
      </c>
      <c r="T232" s="7"/>
      <c r="U232" s="7" t="s">
        <v>35</v>
      </c>
      <c r="V232" s="9">
        <v>26591.58</v>
      </c>
      <c r="W232" s="9">
        <v>11466.29</v>
      </c>
      <c r="X232" s="9">
        <v>10588.77</v>
      </c>
      <c r="Y232" s="7">
        <v>0</v>
      </c>
      <c r="Z232" s="9">
        <v>4536.5200000000004</v>
      </c>
    </row>
    <row r="233" spans="1:26" x14ac:dyDescent="0.35">
      <c r="A233" s="7" t="s">
        <v>27</v>
      </c>
      <c r="B233" s="7" t="s">
        <v>28</v>
      </c>
      <c r="C233" s="7" t="s">
        <v>50</v>
      </c>
      <c r="D233" s="7" t="s">
        <v>50</v>
      </c>
      <c r="E233" s="7" t="s">
        <v>42</v>
      </c>
      <c r="F233" s="7" t="s">
        <v>42</v>
      </c>
      <c r="G233" s="7">
        <v>2017</v>
      </c>
      <c r="H233" s="7" t="str">
        <f>CONCATENATE("14270341192")</f>
        <v>14270341192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CONCATENATE("19 19.2 6b")</f>
        <v>19 19.2 6b</v>
      </c>
      <c r="M233" s="7" t="str">
        <f>CONCATENATE("00358230449")</f>
        <v>00358230449</v>
      </c>
      <c r="N233" s="7" t="s">
        <v>383</v>
      </c>
      <c r="O233" s="7" t="s">
        <v>380</v>
      </c>
      <c r="P233" s="8">
        <v>44540</v>
      </c>
      <c r="Q233" s="7" t="s">
        <v>32</v>
      </c>
      <c r="R233" s="7" t="s">
        <v>46</v>
      </c>
      <c r="S233" s="7" t="s">
        <v>34</v>
      </c>
      <c r="T233" s="7"/>
      <c r="U233" s="7" t="s">
        <v>35</v>
      </c>
      <c r="V233" s="9">
        <v>26999.759999999998</v>
      </c>
      <c r="W233" s="9">
        <v>11642.3</v>
      </c>
      <c r="X233" s="9">
        <v>10751.3</v>
      </c>
      <c r="Y233" s="7">
        <v>0</v>
      </c>
      <c r="Z233" s="9">
        <v>4606.16</v>
      </c>
    </row>
    <row r="234" spans="1:26" x14ac:dyDescent="0.35">
      <c r="A234" s="7" t="s">
        <v>27</v>
      </c>
      <c r="B234" s="7" t="s">
        <v>43</v>
      </c>
      <c r="C234" s="7" t="s">
        <v>50</v>
      </c>
      <c r="D234" s="7" t="s">
        <v>95</v>
      </c>
      <c r="E234" s="7" t="s">
        <v>39</v>
      </c>
      <c r="F234" s="7" t="s">
        <v>155</v>
      </c>
      <c r="G234" s="7">
        <v>2018</v>
      </c>
      <c r="H234" s="7" t="str">
        <f>CONCATENATE("84240959209")</f>
        <v>84240959209</v>
      </c>
      <c r="I234" s="7" t="s">
        <v>30</v>
      </c>
      <c r="J234" s="7" t="s">
        <v>31</v>
      </c>
      <c r="K234" s="7" t="str">
        <f>CONCATENATE("")</f>
        <v/>
      </c>
      <c r="L234" s="7" t="str">
        <f>CONCATENATE("10 10.1 4a")</f>
        <v>10 10.1 4a</v>
      </c>
      <c r="M234" s="7" t="str">
        <f>CONCATENATE("SBBMTT98H09G478K")</f>
        <v>SBBMTT98H09G478K</v>
      </c>
      <c r="N234" s="7" t="s">
        <v>384</v>
      </c>
      <c r="O234" s="7" t="s">
        <v>385</v>
      </c>
      <c r="P234" s="8">
        <v>44546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9">
        <v>4555.63</v>
      </c>
      <c r="W234" s="9">
        <v>1964.39</v>
      </c>
      <c r="X234" s="9">
        <v>1814.05</v>
      </c>
      <c r="Y234" s="7">
        <v>0</v>
      </c>
      <c r="Z234" s="7">
        <v>777.19</v>
      </c>
    </row>
    <row r="235" spans="1:26" x14ac:dyDescent="0.35">
      <c r="A235" s="7" t="s">
        <v>27</v>
      </c>
      <c r="B235" s="7" t="s">
        <v>43</v>
      </c>
      <c r="C235" s="7" t="s">
        <v>50</v>
      </c>
      <c r="D235" s="7" t="s">
        <v>95</v>
      </c>
      <c r="E235" s="7" t="s">
        <v>39</v>
      </c>
      <c r="F235" s="7" t="s">
        <v>386</v>
      </c>
      <c r="G235" s="7">
        <v>2021</v>
      </c>
      <c r="H235" s="7" t="str">
        <f>CONCATENATE("14240286741")</f>
        <v>14240286741</v>
      </c>
      <c r="I235" s="7" t="s">
        <v>30</v>
      </c>
      <c r="J235" s="7" t="s">
        <v>31</v>
      </c>
      <c r="K235" s="7" t="str">
        <f>CONCATENATE("")</f>
        <v/>
      </c>
      <c r="L235" s="7" t="str">
        <f>CONCATENATE("10 10.1 4a")</f>
        <v>10 10.1 4a</v>
      </c>
      <c r="M235" s="7" t="str">
        <f>CONCATENATE("CSRCLD80D09E388V")</f>
        <v>CSRCLD80D09E388V</v>
      </c>
      <c r="N235" s="7" t="s">
        <v>387</v>
      </c>
      <c r="O235" s="7" t="s">
        <v>385</v>
      </c>
      <c r="P235" s="8">
        <v>44546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9">
        <v>7107.13</v>
      </c>
      <c r="W235" s="9">
        <v>3064.59</v>
      </c>
      <c r="X235" s="9">
        <v>2830.06</v>
      </c>
      <c r="Y235" s="7">
        <v>0</v>
      </c>
      <c r="Z235" s="9">
        <v>1212.48</v>
      </c>
    </row>
    <row r="236" spans="1:26" x14ac:dyDescent="0.35">
      <c r="A236" s="7" t="s">
        <v>27</v>
      </c>
      <c r="B236" s="7" t="s">
        <v>43</v>
      </c>
      <c r="C236" s="7" t="s">
        <v>50</v>
      </c>
      <c r="D236" s="7" t="s">
        <v>95</v>
      </c>
      <c r="E236" s="7" t="s">
        <v>29</v>
      </c>
      <c r="F236" s="7" t="s">
        <v>147</v>
      </c>
      <c r="G236" s="7">
        <v>2021</v>
      </c>
      <c r="H236" s="7" t="str">
        <f>CONCATENATE("14241564377")</f>
        <v>14241564377</v>
      </c>
      <c r="I236" s="7" t="s">
        <v>30</v>
      </c>
      <c r="J236" s="7" t="s">
        <v>31</v>
      </c>
      <c r="K236" s="7" t="str">
        <f>CONCATENATE("")</f>
        <v/>
      </c>
      <c r="L236" s="7" t="str">
        <f>CONCATENATE("10 10.1 4a")</f>
        <v>10 10.1 4a</v>
      </c>
      <c r="M236" s="7" t="str">
        <f>CONCATENATE("01761610433")</f>
        <v>01761610433</v>
      </c>
      <c r="N236" s="7" t="s">
        <v>388</v>
      </c>
      <c r="O236" s="7" t="s">
        <v>385</v>
      </c>
      <c r="P236" s="8">
        <v>44546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9">
        <v>9942.24</v>
      </c>
      <c r="W236" s="9">
        <v>4287.09</v>
      </c>
      <c r="X236" s="9">
        <v>3959</v>
      </c>
      <c r="Y236" s="7">
        <v>0</v>
      </c>
      <c r="Z236" s="9">
        <v>1696.15</v>
      </c>
    </row>
    <row r="237" spans="1:26" x14ac:dyDescent="0.35">
      <c r="A237" s="7" t="s">
        <v>27</v>
      </c>
      <c r="B237" s="7" t="s">
        <v>43</v>
      </c>
      <c r="C237" s="7" t="s">
        <v>50</v>
      </c>
      <c r="D237" s="7" t="s">
        <v>55</v>
      </c>
      <c r="E237" s="7" t="s">
        <v>41</v>
      </c>
      <c r="F237" s="7" t="s">
        <v>73</v>
      </c>
      <c r="G237" s="7">
        <v>2021</v>
      </c>
      <c r="H237" s="7" t="str">
        <f>CONCATENATE("14240081332")</f>
        <v>14240081332</v>
      </c>
      <c r="I237" s="7" t="s">
        <v>30</v>
      </c>
      <c r="J237" s="7" t="s">
        <v>31</v>
      </c>
      <c r="K237" s="7" t="str">
        <f>CONCATENATE("")</f>
        <v/>
      </c>
      <c r="L237" s="7" t="str">
        <f>CONCATENATE("11 11.1 4b")</f>
        <v>11 11.1 4b</v>
      </c>
      <c r="M237" s="7" t="str">
        <f>CONCATENATE("90047130415")</f>
        <v>90047130415</v>
      </c>
      <c r="N237" s="7" t="s">
        <v>389</v>
      </c>
      <c r="O237" s="7" t="s">
        <v>349</v>
      </c>
      <c r="P237" s="8">
        <v>44540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7">
        <v>111.58</v>
      </c>
      <c r="W237" s="7">
        <v>48.11</v>
      </c>
      <c r="X237" s="7">
        <v>44.43</v>
      </c>
      <c r="Y237" s="7">
        <v>0</v>
      </c>
      <c r="Z237" s="7">
        <v>19.04</v>
      </c>
    </row>
    <row r="238" spans="1:26" x14ac:dyDescent="0.35">
      <c r="A238" s="7" t="s">
        <v>27</v>
      </c>
      <c r="B238" s="7" t="s">
        <v>43</v>
      </c>
      <c r="C238" s="7" t="s">
        <v>50</v>
      </c>
      <c r="D238" s="7" t="s">
        <v>55</v>
      </c>
      <c r="E238" s="7" t="s">
        <v>48</v>
      </c>
      <c r="F238" s="7" t="s">
        <v>390</v>
      </c>
      <c r="G238" s="7">
        <v>2021</v>
      </c>
      <c r="H238" s="7" t="str">
        <f>CONCATENATE("14241155028")</f>
        <v>14241155028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CONCATENATE("11 11.2 4b")</f>
        <v>11 11.2 4b</v>
      </c>
      <c r="M238" s="7" t="str">
        <f>CONCATENATE("02179880410")</f>
        <v>02179880410</v>
      </c>
      <c r="N238" s="7" t="s">
        <v>391</v>
      </c>
      <c r="O238" s="7" t="s">
        <v>349</v>
      </c>
      <c r="P238" s="8">
        <v>44540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7">
        <v>788.46</v>
      </c>
      <c r="W238" s="7">
        <v>339.98</v>
      </c>
      <c r="X238" s="7">
        <v>313.95999999999998</v>
      </c>
      <c r="Y238" s="7">
        <v>0</v>
      </c>
      <c r="Z238" s="7">
        <v>134.52000000000001</v>
      </c>
    </row>
    <row r="239" spans="1:26" x14ac:dyDescent="0.35">
      <c r="A239" s="7" t="s">
        <v>27</v>
      </c>
      <c r="B239" s="7" t="s">
        <v>43</v>
      </c>
      <c r="C239" s="7" t="s">
        <v>50</v>
      </c>
      <c r="D239" s="7" t="s">
        <v>59</v>
      </c>
      <c r="E239" s="7" t="s">
        <v>29</v>
      </c>
      <c r="F239" s="7" t="s">
        <v>60</v>
      </c>
      <c r="G239" s="7">
        <v>2021</v>
      </c>
      <c r="H239" s="7" t="str">
        <f>CONCATENATE("14240506379")</f>
        <v>14240506379</v>
      </c>
      <c r="I239" s="7" t="s">
        <v>30</v>
      </c>
      <c r="J239" s="7" t="s">
        <v>31</v>
      </c>
      <c r="K239" s="7" t="str">
        <f>CONCATENATE("")</f>
        <v/>
      </c>
      <c r="L239" s="7" t="str">
        <f>CONCATENATE("11 11.2 4b")</f>
        <v>11 11.2 4b</v>
      </c>
      <c r="M239" s="7" t="str">
        <f>CONCATENATE("BNFDRN59D11D760D")</f>
        <v>BNFDRN59D11D760D</v>
      </c>
      <c r="N239" s="7" t="s">
        <v>392</v>
      </c>
      <c r="O239" s="7" t="s">
        <v>373</v>
      </c>
      <c r="P239" s="8">
        <v>44544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7">
        <v>385.19</v>
      </c>
      <c r="W239" s="7">
        <v>166.09</v>
      </c>
      <c r="X239" s="7">
        <v>153.38</v>
      </c>
      <c r="Y239" s="7">
        <v>0</v>
      </c>
      <c r="Z239" s="7">
        <v>65.72</v>
      </c>
    </row>
    <row r="240" spans="1:26" x14ac:dyDescent="0.35">
      <c r="A240" s="7" t="s">
        <v>27</v>
      </c>
      <c r="B240" s="7" t="s">
        <v>43</v>
      </c>
      <c r="C240" s="7" t="s">
        <v>50</v>
      </c>
      <c r="D240" s="7" t="s">
        <v>59</v>
      </c>
      <c r="E240" s="7" t="s">
        <v>45</v>
      </c>
      <c r="F240" s="7" t="s">
        <v>393</v>
      </c>
      <c r="G240" s="7">
        <v>2021</v>
      </c>
      <c r="H240" s="7" t="str">
        <f>CONCATENATE("14240337338")</f>
        <v>14240337338</v>
      </c>
      <c r="I240" s="7" t="s">
        <v>30</v>
      </c>
      <c r="J240" s="7" t="s">
        <v>31</v>
      </c>
      <c r="K240" s="7" t="str">
        <f>CONCATENATE("")</f>
        <v/>
      </c>
      <c r="L240" s="7" t="str">
        <f>CONCATENATE("11 11.2 4b")</f>
        <v>11 11.2 4b</v>
      </c>
      <c r="M240" s="7" t="str">
        <f>CONCATENATE("GLNGRG58M11G224Y")</f>
        <v>GLNGRG58M11G224Y</v>
      </c>
      <c r="N240" s="7" t="s">
        <v>394</v>
      </c>
      <c r="O240" s="7" t="s">
        <v>373</v>
      </c>
      <c r="P240" s="8">
        <v>44544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7">
        <v>159.15</v>
      </c>
      <c r="W240" s="7">
        <v>68.63</v>
      </c>
      <c r="X240" s="7">
        <v>63.37</v>
      </c>
      <c r="Y240" s="7">
        <v>0</v>
      </c>
      <c r="Z240" s="7">
        <v>27.15</v>
      </c>
    </row>
    <row r="241" spans="1:26" x14ac:dyDescent="0.35">
      <c r="A241" s="7" t="s">
        <v>27</v>
      </c>
      <c r="B241" s="7" t="s">
        <v>43</v>
      </c>
      <c r="C241" s="7" t="s">
        <v>50</v>
      </c>
      <c r="D241" s="7" t="s">
        <v>95</v>
      </c>
      <c r="E241" s="7" t="s">
        <v>29</v>
      </c>
      <c r="F241" s="7" t="s">
        <v>298</v>
      </c>
      <c r="G241" s="7">
        <v>2021</v>
      </c>
      <c r="H241" s="7" t="str">
        <f>CONCATENATE("14240461336")</f>
        <v>14240461336</v>
      </c>
      <c r="I241" s="7" t="s">
        <v>30</v>
      </c>
      <c r="J241" s="7" t="s">
        <v>31</v>
      </c>
      <c r="K241" s="7" t="str">
        <f>CONCATENATE("")</f>
        <v/>
      </c>
      <c r="L241" s="7" t="str">
        <f>CONCATENATE("10 10.1 4a")</f>
        <v>10 10.1 4a</v>
      </c>
      <c r="M241" s="7" t="str">
        <f>CONCATENATE("MNCBRD55E12L597B")</f>
        <v>MNCBRD55E12L597B</v>
      </c>
      <c r="N241" s="7" t="s">
        <v>395</v>
      </c>
      <c r="O241" s="7" t="s">
        <v>385</v>
      </c>
      <c r="P241" s="8">
        <v>44546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9">
        <v>12440.66</v>
      </c>
      <c r="W241" s="9">
        <v>5364.41</v>
      </c>
      <c r="X241" s="9">
        <v>4953.87</v>
      </c>
      <c r="Y241" s="7">
        <v>0</v>
      </c>
      <c r="Z241" s="9">
        <v>2122.38</v>
      </c>
    </row>
    <row r="242" spans="1:26" x14ac:dyDescent="0.35">
      <c r="A242" s="7" t="s">
        <v>27</v>
      </c>
      <c r="B242" s="7" t="s">
        <v>43</v>
      </c>
      <c r="C242" s="7" t="s">
        <v>50</v>
      </c>
      <c r="D242" s="7" t="s">
        <v>95</v>
      </c>
      <c r="E242" s="7" t="s">
        <v>41</v>
      </c>
      <c r="F242" s="7" t="s">
        <v>144</v>
      </c>
      <c r="G242" s="7">
        <v>2021</v>
      </c>
      <c r="H242" s="7" t="str">
        <f>CONCATENATE("14240485020")</f>
        <v>14240485020</v>
      </c>
      <c r="I242" s="7" t="s">
        <v>30</v>
      </c>
      <c r="J242" s="7" t="s">
        <v>31</v>
      </c>
      <c r="K242" s="7" t="str">
        <f>CONCATENATE("")</f>
        <v/>
      </c>
      <c r="L242" s="7" t="str">
        <f>CONCATENATE("10 10.1 4a")</f>
        <v>10 10.1 4a</v>
      </c>
      <c r="M242" s="7" t="str">
        <f>CONCATENATE("SBSDMN91B16I156V")</f>
        <v>SBSDMN91B16I156V</v>
      </c>
      <c r="N242" s="7" t="s">
        <v>396</v>
      </c>
      <c r="O242" s="7" t="s">
        <v>385</v>
      </c>
      <c r="P242" s="8">
        <v>44546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9">
        <v>10946.35</v>
      </c>
      <c r="W242" s="9">
        <v>4720.07</v>
      </c>
      <c r="X242" s="9">
        <v>4358.84</v>
      </c>
      <c r="Y242" s="7">
        <v>0</v>
      </c>
      <c r="Z242" s="9">
        <v>1867.44</v>
      </c>
    </row>
    <row r="243" spans="1:26" x14ac:dyDescent="0.35">
      <c r="A243" s="7" t="s">
        <v>27</v>
      </c>
      <c r="B243" s="7" t="s">
        <v>43</v>
      </c>
      <c r="C243" s="7" t="s">
        <v>50</v>
      </c>
      <c r="D243" s="7" t="s">
        <v>95</v>
      </c>
      <c r="E243" s="7" t="s">
        <v>41</v>
      </c>
      <c r="F243" s="7" t="s">
        <v>142</v>
      </c>
      <c r="G243" s="7">
        <v>2021</v>
      </c>
      <c r="H243" s="7" t="str">
        <f>CONCATENATE("14241255489")</f>
        <v>14241255489</v>
      </c>
      <c r="I243" s="7" t="s">
        <v>30</v>
      </c>
      <c r="J243" s="7" t="s">
        <v>31</v>
      </c>
      <c r="K243" s="7" t="str">
        <f>CONCATENATE("")</f>
        <v/>
      </c>
      <c r="L243" s="7" t="str">
        <f>CONCATENATE("10 10.1 4a")</f>
        <v>10 10.1 4a</v>
      </c>
      <c r="M243" s="7" t="str">
        <f>CONCATENATE("00863530432")</f>
        <v>00863530432</v>
      </c>
      <c r="N243" s="7" t="s">
        <v>397</v>
      </c>
      <c r="O243" s="7" t="s">
        <v>385</v>
      </c>
      <c r="P243" s="8">
        <v>44546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9">
        <v>10133.709999999999</v>
      </c>
      <c r="W243" s="9">
        <v>4369.66</v>
      </c>
      <c r="X243" s="9">
        <v>4035.24</v>
      </c>
      <c r="Y243" s="7">
        <v>0</v>
      </c>
      <c r="Z243" s="9">
        <v>1728.81</v>
      </c>
    </row>
    <row r="244" spans="1:26" x14ac:dyDescent="0.35">
      <c r="A244" s="7" t="s">
        <v>27</v>
      </c>
      <c r="B244" s="7" t="s">
        <v>43</v>
      </c>
      <c r="C244" s="7" t="s">
        <v>50</v>
      </c>
      <c r="D244" s="7" t="s">
        <v>95</v>
      </c>
      <c r="E244" s="7" t="s">
        <v>41</v>
      </c>
      <c r="F244" s="7" t="s">
        <v>142</v>
      </c>
      <c r="G244" s="7">
        <v>2021</v>
      </c>
      <c r="H244" s="7" t="str">
        <f>CONCATENATE("14241088039")</f>
        <v>14241088039</v>
      </c>
      <c r="I244" s="7" t="s">
        <v>30</v>
      </c>
      <c r="J244" s="7" t="s">
        <v>31</v>
      </c>
      <c r="K244" s="7" t="str">
        <f>CONCATENATE("")</f>
        <v/>
      </c>
      <c r="L244" s="7" t="str">
        <f>CONCATENATE("10 10.1 4a")</f>
        <v>10 10.1 4a</v>
      </c>
      <c r="M244" s="7" t="str">
        <f>CONCATENATE("01976250439")</f>
        <v>01976250439</v>
      </c>
      <c r="N244" s="7" t="s">
        <v>398</v>
      </c>
      <c r="O244" s="7" t="s">
        <v>385</v>
      </c>
      <c r="P244" s="8">
        <v>44546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9">
        <v>15684.66</v>
      </c>
      <c r="W244" s="9">
        <v>6763.23</v>
      </c>
      <c r="X244" s="9">
        <v>6245.63</v>
      </c>
      <c r="Y244" s="7">
        <v>0</v>
      </c>
      <c r="Z244" s="9">
        <v>2675.8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71584</vt:lpwstr>
  </property>
  <property fmtid="{D5CDD505-2E9C-101B-9397-08002B2CF9AE}" pid="4" name="OptimizationTime">
    <vt:lpwstr>20211221_1554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2021-12-21T09:48:23Z</dcterms:created>
  <dcterms:modified xsi:type="dcterms:W3CDTF">2021-12-21T09:49:08Z</dcterms:modified>
</cp:coreProperties>
</file>