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505/"/>
    </mc:Choice>
  </mc:AlternateContent>
  <xr:revisionPtr revIDLastSave="0" documentId="8_{DFE4E198-28FD-46B0-A4CD-96E7C2F8B2D6}" xr6:coauthVersionLast="46" xr6:coauthVersionMax="46" xr10:uidLastSave="{00000000-0000-0000-0000-000000000000}"/>
  <bookViews>
    <workbookView xWindow="-110" yWindow="-110" windowWidth="19420" windowHeight="10420" xr2:uid="{3B9B3B14-44D3-422B-87A2-D1052A557DB0}"/>
  </bookViews>
  <sheets>
    <sheet name="Dettaglio_Domande_Pagabili_AGEA" sheetId="1" r:id="rId1"/>
  </sheets>
  <definedNames>
    <definedName name="_xlnm._FilterDatabase" localSheetId="0" hidden="1">Dettaglio_Domande_Pagabili_AGEA!$A$3:$Z$244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4" i="1" l="1"/>
  <c r="L244" i="1"/>
  <c r="K244" i="1"/>
  <c r="H244" i="1"/>
  <c r="M243" i="1"/>
  <c r="L243" i="1"/>
  <c r="K243" i="1"/>
  <c r="H243" i="1"/>
  <c r="M242" i="1"/>
  <c r="L242" i="1"/>
  <c r="K242" i="1"/>
  <c r="H242" i="1"/>
  <c r="M241" i="1"/>
  <c r="L241" i="1"/>
  <c r="K241" i="1"/>
  <c r="H241" i="1"/>
  <c r="M240" i="1"/>
  <c r="L240" i="1"/>
  <c r="K240" i="1"/>
  <c r="H240" i="1"/>
  <c r="M239" i="1"/>
  <c r="L239" i="1"/>
  <c r="K239" i="1"/>
  <c r="H239" i="1"/>
  <c r="M238" i="1"/>
  <c r="L238" i="1"/>
  <c r="K238" i="1"/>
  <c r="H238" i="1"/>
  <c r="M237" i="1"/>
  <c r="L237" i="1"/>
  <c r="K237" i="1"/>
  <c r="H237" i="1"/>
  <c r="M236" i="1"/>
  <c r="L236" i="1"/>
  <c r="K236" i="1"/>
  <c r="H236" i="1"/>
  <c r="M235" i="1"/>
  <c r="L235" i="1"/>
  <c r="K235" i="1"/>
  <c r="H235" i="1"/>
  <c r="M234" i="1"/>
  <c r="L234" i="1"/>
  <c r="K234" i="1"/>
  <c r="H234" i="1"/>
  <c r="M233" i="1"/>
  <c r="L233" i="1"/>
  <c r="K233" i="1"/>
  <c r="H233" i="1"/>
  <c r="M232" i="1"/>
  <c r="L232" i="1"/>
  <c r="K232" i="1"/>
  <c r="H232" i="1"/>
  <c r="M231" i="1"/>
  <c r="L231" i="1"/>
  <c r="K231" i="1"/>
  <c r="H231" i="1"/>
  <c r="M230" i="1"/>
  <c r="L230" i="1"/>
  <c r="K230" i="1"/>
  <c r="H230" i="1"/>
  <c r="M229" i="1"/>
  <c r="L229" i="1"/>
  <c r="K229" i="1"/>
  <c r="H229" i="1"/>
  <c r="M228" i="1"/>
  <c r="L228" i="1"/>
  <c r="K228" i="1"/>
  <c r="H228" i="1"/>
  <c r="M227" i="1"/>
  <c r="L227" i="1"/>
  <c r="K227" i="1"/>
  <c r="H227" i="1"/>
  <c r="M226" i="1"/>
  <c r="L226" i="1"/>
  <c r="K226" i="1"/>
  <c r="H226" i="1"/>
  <c r="M225" i="1"/>
  <c r="L225" i="1"/>
  <c r="K225" i="1"/>
  <c r="H225" i="1"/>
  <c r="M224" i="1"/>
  <c r="L224" i="1"/>
  <c r="K224" i="1"/>
  <c r="H224" i="1"/>
  <c r="M223" i="1"/>
  <c r="L223" i="1"/>
  <c r="K223" i="1"/>
  <c r="H223" i="1"/>
  <c r="M222" i="1"/>
  <c r="L222" i="1"/>
  <c r="K222" i="1"/>
  <c r="H222" i="1"/>
  <c r="M221" i="1"/>
  <c r="L221" i="1"/>
  <c r="K221" i="1"/>
  <c r="H221" i="1"/>
  <c r="M220" i="1"/>
  <c r="L220" i="1"/>
  <c r="K220" i="1"/>
  <c r="H220" i="1"/>
  <c r="M219" i="1"/>
  <c r="L219" i="1"/>
  <c r="K219" i="1"/>
  <c r="H219" i="1"/>
  <c r="M218" i="1"/>
  <c r="L218" i="1"/>
  <c r="K218" i="1"/>
  <c r="H218" i="1"/>
  <c r="M217" i="1"/>
  <c r="L217" i="1"/>
  <c r="K217" i="1"/>
  <c r="H217" i="1"/>
  <c r="M216" i="1"/>
  <c r="L216" i="1"/>
  <c r="K216" i="1"/>
  <c r="H216" i="1"/>
  <c r="M215" i="1"/>
  <c r="L215" i="1"/>
  <c r="K215" i="1"/>
  <c r="H215" i="1"/>
  <c r="M214" i="1"/>
  <c r="L214" i="1"/>
  <c r="K214" i="1"/>
  <c r="H214" i="1"/>
  <c r="M213" i="1"/>
  <c r="L213" i="1"/>
  <c r="K213" i="1"/>
  <c r="H213" i="1"/>
  <c r="M212" i="1"/>
  <c r="L212" i="1"/>
  <c r="K212" i="1"/>
  <c r="H212" i="1"/>
  <c r="M211" i="1"/>
  <c r="L211" i="1"/>
  <c r="K211" i="1"/>
  <c r="H211" i="1"/>
  <c r="M210" i="1"/>
  <c r="L210" i="1"/>
  <c r="K210" i="1"/>
  <c r="H210" i="1"/>
  <c r="M209" i="1"/>
  <c r="L209" i="1"/>
  <c r="K209" i="1"/>
  <c r="H209" i="1"/>
  <c r="M208" i="1"/>
  <c r="L208" i="1"/>
  <c r="K208" i="1"/>
  <c r="H208" i="1"/>
  <c r="M207" i="1"/>
  <c r="L207" i="1"/>
  <c r="K207" i="1"/>
  <c r="H207" i="1"/>
  <c r="M206" i="1"/>
  <c r="L206" i="1"/>
  <c r="K206" i="1"/>
  <c r="H206" i="1"/>
  <c r="M205" i="1"/>
  <c r="L205" i="1"/>
  <c r="K205" i="1"/>
  <c r="H205" i="1"/>
  <c r="M204" i="1"/>
  <c r="L204" i="1"/>
  <c r="K204" i="1"/>
  <c r="H204" i="1"/>
  <c r="M203" i="1"/>
  <c r="L203" i="1"/>
  <c r="K203" i="1"/>
  <c r="H203" i="1"/>
  <c r="M202" i="1"/>
  <c r="L202" i="1"/>
  <c r="K202" i="1"/>
  <c r="H202" i="1"/>
  <c r="M201" i="1"/>
  <c r="L201" i="1"/>
  <c r="K201" i="1"/>
  <c r="H201" i="1"/>
  <c r="M200" i="1"/>
  <c r="L200" i="1"/>
  <c r="K200" i="1"/>
  <c r="H200" i="1"/>
  <c r="M199" i="1"/>
  <c r="L199" i="1"/>
  <c r="K199" i="1"/>
  <c r="H199" i="1"/>
  <c r="M198" i="1"/>
  <c r="L198" i="1"/>
  <c r="K198" i="1"/>
  <c r="H198" i="1"/>
  <c r="M197" i="1"/>
  <c r="L197" i="1"/>
  <c r="K197" i="1"/>
  <c r="H197" i="1"/>
  <c r="M196" i="1"/>
  <c r="L196" i="1"/>
  <c r="K196" i="1"/>
  <c r="H196" i="1"/>
  <c r="M195" i="1"/>
  <c r="L195" i="1"/>
  <c r="K195" i="1"/>
  <c r="H195" i="1"/>
  <c r="M194" i="1"/>
  <c r="L194" i="1"/>
  <c r="K194" i="1"/>
  <c r="H194" i="1"/>
  <c r="M193" i="1"/>
  <c r="L193" i="1"/>
  <c r="K193" i="1"/>
  <c r="H193" i="1"/>
  <c r="M192" i="1"/>
  <c r="L192" i="1"/>
  <c r="K192" i="1"/>
  <c r="H192" i="1"/>
  <c r="M191" i="1"/>
  <c r="L191" i="1"/>
  <c r="K191" i="1"/>
  <c r="H191" i="1"/>
  <c r="M190" i="1"/>
  <c r="L190" i="1"/>
  <c r="K190" i="1"/>
  <c r="H190" i="1"/>
  <c r="M189" i="1"/>
  <c r="L189" i="1"/>
  <c r="K189" i="1"/>
  <c r="H189" i="1"/>
  <c r="M188" i="1"/>
  <c r="L188" i="1"/>
  <c r="K188" i="1"/>
  <c r="H188" i="1"/>
  <c r="M187" i="1"/>
  <c r="L187" i="1"/>
  <c r="K187" i="1"/>
  <c r="H187" i="1"/>
  <c r="M186" i="1"/>
  <c r="L186" i="1"/>
  <c r="K186" i="1"/>
  <c r="H186" i="1"/>
  <c r="M185" i="1"/>
  <c r="L185" i="1"/>
  <c r="K185" i="1"/>
  <c r="H185" i="1"/>
  <c r="M184" i="1"/>
  <c r="L184" i="1"/>
  <c r="K184" i="1"/>
  <c r="H184" i="1"/>
  <c r="M183" i="1"/>
  <c r="L183" i="1"/>
  <c r="K183" i="1"/>
  <c r="H183" i="1"/>
  <c r="M182" i="1"/>
  <c r="L182" i="1"/>
  <c r="K182" i="1"/>
  <c r="H182" i="1"/>
  <c r="M181" i="1"/>
  <c r="L181" i="1"/>
  <c r="K181" i="1"/>
  <c r="H181" i="1"/>
  <c r="M180" i="1"/>
  <c r="L180" i="1"/>
  <c r="K180" i="1"/>
  <c r="H180" i="1"/>
  <c r="M179" i="1"/>
  <c r="L179" i="1"/>
  <c r="K179" i="1"/>
  <c r="H179" i="1"/>
  <c r="M178" i="1"/>
  <c r="L178" i="1"/>
  <c r="K178" i="1"/>
  <c r="H178" i="1"/>
  <c r="M177" i="1"/>
  <c r="L177" i="1"/>
  <c r="K177" i="1"/>
  <c r="H177" i="1"/>
  <c r="M176" i="1"/>
  <c r="L176" i="1"/>
  <c r="K176" i="1"/>
  <c r="H176" i="1"/>
  <c r="M175" i="1"/>
  <c r="L175" i="1"/>
  <c r="K175" i="1"/>
  <c r="H175" i="1"/>
  <c r="M174" i="1"/>
  <c r="L174" i="1"/>
  <c r="K174" i="1"/>
  <c r="H174" i="1"/>
  <c r="M173" i="1"/>
  <c r="L173" i="1"/>
  <c r="K173" i="1"/>
  <c r="H173" i="1"/>
  <c r="M172" i="1"/>
  <c r="L172" i="1"/>
  <c r="K172" i="1"/>
  <c r="H172" i="1"/>
  <c r="M171" i="1"/>
  <c r="L171" i="1"/>
  <c r="K171" i="1"/>
  <c r="H171" i="1"/>
  <c r="M170" i="1"/>
  <c r="L170" i="1"/>
  <c r="K170" i="1"/>
  <c r="H170" i="1"/>
  <c r="M169" i="1"/>
  <c r="L169" i="1"/>
  <c r="K169" i="1"/>
  <c r="H169" i="1"/>
  <c r="M168" i="1"/>
  <c r="L168" i="1"/>
  <c r="K168" i="1"/>
  <c r="H168" i="1"/>
  <c r="M167" i="1"/>
  <c r="L167" i="1"/>
  <c r="K167" i="1"/>
  <c r="H167" i="1"/>
  <c r="M166" i="1"/>
  <c r="L166" i="1"/>
  <c r="K166" i="1"/>
  <c r="H166" i="1"/>
  <c r="M165" i="1"/>
  <c r="L165" i="1"/>
  <c r="K165" i="1"/>
  <c r="H165" i="1"/>
  <c r="M164" i="1"/>
  <c r="L164" i="1"/>
  <c r="K164" i="1"/>
  <c r="H164" i="1"/>
  <c r="M163" i="1"/>
  <c r="L163" i="1"/>
  <c r="K163" i="1"/>
  <c r="H163" i="1"/>
  <c r="M162" i="1"/>
  <c r="L162" i="1"/>
  <c r="K162" i="1"/>
  <c r="H162" i="1"/>
  <c r="M161" i="1"/>
  <c r="L161" i="1"/>
  <c r="K161" i="1"/>
  <c r="H161" i="1"/>
  <c r="M160" i="1"/>
  <c r="L160" i="1"/>
  <c r="K160" i="1"/>
  <c r="H160" i="1"/>
  <c r="M159" i="1"/>
  <c r="L159" i="1"/>
  <c r="K159" i="1"/>
  <c r="H159" i="1"/>
  <c r="M158" i="1"/>
  <c r="L158" i="1"/>
  <c r="K158" i="1"/>
  <c r="H158" i="1"/>
  <c r="M157" i="1"/>
  <c r="L157" i="1"/>
  <c r="K157" i="1"/>
  <c r="H157" i="1"/>
  <c r="M156" i="1"/>
  <c r="L156" i="1"/>
  <c r="K156" i="1"/>
  <c r="H156" i="1"/>
  <c r="M155" i="1"/>
  <c r="L155" i="1"/>
  <c r="K155" i="1"/>
  <c r="H155" i="1"/>
  <c r="M154" i="1"/>
  <c r="L154" i="1"/>
  <c r="K154" i="1"/>
  <c r="H154" i="1"/>
  <c r="M153" i="1"/>
  <c r="L153" i="1"/>
  <c r="K153" i="1"/>
  <c r="H153" i="1"/>
  <c r="M152" i="1"/>
  <c r="L152" i="1"/>
  <c r="K152" i="1"/>
  <c r="H152" i="1"/>
  <c r="M151" i="1"/>
  <c r="L151" i="1"/>
  <c r="K151" i="1"/>
  <c r="H151" i="1"/>
  <c r="M150" i="1"/>
  <c r="L150" i="1"/>
  <c r="K150" i="1"/>
  <c r="H150" i="1"/>
  <c r="M149" i="1"/>
  <c r="L149" i="1"/>
  <c r="K149" i="1"/>
  <c r="H149" i="1"/>
  <c r="M148" i="1"/>
  <c r="L148" i="1"/>
  <c r="K148" i="1"/>
  <c r="H148" i="1"/>
  <c r="M147" i="1"/>
  <c r="L147" i="1"/>
  <c r="K147" i="1"/>
  <c r="H147" i="1"/>
  <c r="M146" i="1"/>
  <c r="L146" i="1"/>
  <c r="K146" i="1"/>
  <c r="H146" i="1"/>
  <c r="M145" i="1"/>
  <c r="L145" i="1"/>
  <c r="K145" i="1"/>
  <c r="H145" i="1"/>
  <c r="M144" i="1"/>
  <c r="L144" i="1"/>
  <c r="K144" i="1"/>
  <c r="H144" i="1"/>
  <c r="M143" i="1"/>
  <c r="L143" i="1"/>
  <c r="K143" i="1"/>
  <c r="H143" i="1"/>
  <c r="M142" i="1"/>
  <c r="L142" i="1"/>
  <c r="K142" i="1"/>
  <c r="H142" i="1"/>
  <c r="M141" i="1"/>
  <c r="L141" i="1"/>
  <c r="K141" i="1"/>
  <c r="H141" i="1"/>
  <c r="M140" i="1"/>
  <c r="L140" i="1"/>
  <c r="K140" i="1"/>
  <c r="H140" i="1"/>
  <c r="M139" i="1"/>
  <c r="L139" i="1"/>
  <c r="K139" i="1"/>
  <c r="H139" i="1"/>
  <c r="M138" i="1"/>
  <c r="L138" i="1"/>
  <c r="K138" i="1"/>
  <c r="H138" i="1"/>
  <c r="M137" i="1"/>
  <c r="L137" i="1"/>
  <c r="K137" i="1"/>
  <c r="H137" i="1"/>
  <c r="M136" i="1"/>
  <c r="L136" i="1"/>
  <c r="K136" i="1"/>
  <c r="H136" i="1"/>
  <c r="M135" i="1"/>
  <c r="L135" i="1"/>
  <c r="K135" i="1"/>
  <c r="H135" i="1"/>
  <c r="M134" i="1"/>
  <c r="L134" i="1"/>
  <c r="K134" i="1"/>
  <c r="H134" i="1"/>
  <c r="M133" i="1"/>
  <c r="L133" i="1"/>
  <c r="K133" i="1"/>
  <c r="H133" i="1"/>
  <c r="M132" i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<sst xmlns="http://schemas.openxmlformats.org/spreadsheetml/2006/main" count="3401" uniqueCount="399">
  <si>
    <t>Dettaglio Domande Pagabili Decreto 505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</si>
  <si>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</si>
  <si>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</si>
  <si>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</si>
  <si>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</si>
  <si>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</si>
  <si>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</si>
  <si>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</si>
  <si>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</si>
  <si>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</si>
  <si>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</si>
  <si>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</si>
  <si>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</si>
  <si>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</si>
  <si>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</si>
  <si>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</si>
  <si>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</si>
  <si>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</si>
  <si>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</si>
  <si>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</si>
  <si>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</si>
  <si>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</si>
  <si>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</si>
  <si>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</si>
  <si>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</si>
  <si>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</si>
  <si>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</si>
  <si>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</si>
  <si>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</si>
  <si>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CAA Coldiretti srl</t>
  </si>
  <si>
    <t>NO</t>
  </si>
  <si>
    <t>Nuova Programmazione</t>
  </si>
  <si>
    <t>In Liquidazione</t>
  </si>
  <si>
    <t>Saldo</t>
  </si>
  <si>
    <t>Co-Finanziato</t>
  </si>
  <si>
    <t>Ordinario</t>
  </si>
  <si>
    <t>CAA Confagricoltura srl</t>
  </si>
  <si>
    <t>CAA UNSIC s.r.l.</t>
  </si>
  <si>
    <t>CAA CIA srl</t>
  </si>
  <si>
    <t>CAA-CAF AGRI S.R.L.</t>
  </si>
  <si>
    <t>SI</t>
  </si>
  <si>
    <t>CAA LiberiAgricoltori srl già CAA AGCI srl</t>
  </si>
  <si>
    <t>IN PROPRIO</t>
  </si>
  <si>
    <t>Misure a Superficie</t>
  </si>
  <si>
    <t>CAA UNICAA srl</t>
  </si>
  <si>
    <t>CAA AGRISERVIZI s.r.l.</t>
  </si>
  <si>
    <t>Anticipo</t>
  </si>
  <si>
    <t>SAL</t>
  </si>
  <si>
    <t>CAA C.A.N.A.P.A. srl</t>
  </si>
  <si>
    <t>CAA Liberi Professionisti srl</t>
  </si>
  <si>
    <t>MARCHE</t>
  </si>
  <si>
    <t>SERV. DEC. AGRICOLTURA E ALIMENTAZIONE - ANCONA</t>
  </si>
  <si>
    <t>CAA CIA - ANCONA - 006</t>
  </si>
  <si>
    <t>SOCIETA' COOPERATIVA AGRICOLA MODERNA</t>
  </si>
  <si>
    <t>AGEA.ASR.2021.1754400</t>
  </si>
  <si>
    <t>SERV. DEC. AGRICOLTURA E ALIMENTAZIONE - PESARO</t>
  </si>
  <si>
    <t>CAA Coldiretti - PESARO E URBINO - 013</t>
  </si>
  <si>
    <t>LUCARELLI ROBERTO</t>
  </si>
  <si>
    <t>AGEA.ASR.2021.1308984</t>
  </si>
  <si>
    <t>SERV. DEC. AGRICOLTURA E ALIM. -ASCOLI PICENO</t>
  </si>
  <si>
    <t>CAA Coldiretti - ASCOLI PICENO - 025</t>
  </si>
  <si>
    <t>VALENTINI VALERIANA</t>
  </si>
  <si>
    <t>AGEA.ASR.2021.1285222</t>
  </si>
  <si>
    <t>TITTONI GIOVANNI</t>
  </si>
  <si>
    <t>AGEA.ASR.2021.1208087</t>
  </si>
  <si>
    <t>COMUNE DI TOLENTINO</t>
  </si>
  <si>
    <t>AGEA.ASR.2021.1232695</t>
  </si>
  <si>
    <t>CAA Coldiretti - PESARO E URBINO - 010</t>
  </si>
  <si>
    <t>CAPPONI AURELIO</t>
  </si>
  <si>
    <t>AGEA.ASR.2021.1283666</t>
  </si>
  <si>
    <t>CAA CIA - ANCONA - 002</t>
  </si>
  <si>
    <t>BADIALI GIROLAMO</t>
  </si>
  <si>
    <t>AGEA.ASR.2021.1205291</t>
  </si>
  <si>
    <t>CAA LiberiAgricoltori - PESARO E URBINO - 002</t>
  </si>
  <si>
    <t>I PODERI DEL POGGIO SOCIETA' AGRICOLA</t>
  </si>
  <si>
    <t>AGEA.ASR.2021.1164496</t>
  </si>
  <si>
    <t>BOVINMARCHE ALLEVATORI MARCHIGIANI SOCIETA' COOPERATIVA CONSORTILE AGR</t>
  </si>
  <si>
    <t>AGEA.ASR.2021.1823009</t>
  </si>
  <si>
    <t>CAA CIA - PESARO E URBINO - 007</t>
  </si>
  <si>
    <t>ROVELLI CLAUDIO</t>
  </si>
  <si>
    <t>AGEA.ASR.2021.1757702</t>
  </si>
  <si>
    <t>LATTE MARCHE SOCIETA' COOPERATIVA AGRICOLA</t>
  </si>
  <si>
    <t>CAA UNICAA - ASCOLI PICENO - 004</t>
  </si>
  <si>
    <t>CORSI RAFFAELE</t>
  </si>
  <si>
    <t>AGEA.ASR.2021.1767913</t>
  </si>
  <si>
    <t>GUERRIERI LUCA</t>
  </si>
  <si>
    <t>MONTEBELLO COOPERATIVA AGROBIOLOGICA</t>
  </si>
  <si>
    <t>SPINELLI FABIO</t>
  </si>
  <si>
    <t>AGEA.ASR.2021.1757703</t>
  </si>
  <si>
    <t>COOPERLAT SOCIETA' COOPERATIVA AGRICOLA</t>
  </si>
  <si>
    <t>AGEA.ASR.2021.1854264</t>
  </si>
  <si>
    <t>CAA Coldiretti - PESARO E URBINO - 001</t>
  </si>
  <si>
    <t>LA TAVOLA MARCHE AGRITURISMO SOCIETA' AGRICOLA</t>
  </si>
  <si>
    <t>AGEA.ASR.2021.1757663</t>
  </si>
  <si>
    <t>PIERSANTI FRANCO</t>
  </si>
  <si>
    <t>SERV. DEC. AGRICOLTURA E ALIM. - MACERATA</t>
  </si>
  <si>
    <t>IL SALICE FIORITO DI PAOLA E FRANCESCO SOCIETA' AGRICOLA S. S.</t>
  </si>
  <si>
    <t>AGEA.ASR.2021.1761406</t>
  </si>
  <si>
    <t>CAA LiberiAgricoltori - PESARO E URBINO - 001</t>
  </si>
  <si>
    <t>WEISSANG FRAUKE HEDWIG</t>
  </si>
  <si>
    <t>AURA VERDE SOCIETA' AGRICOLA SEMPLICE</t>
  </si>
  <si>
    <t>AGEA.ASR.2021.1789306</t>
  </si>
  <si>
    <t>AGEA.ASR.2021.1789316</t>
  </si>
  <si>
    <t>LE BONTA' DI ACCIARRI SOCIETA' AGRICOLA A RESPONSABILITA' LIMITATA SEM</t>
  </si>
  <si>
    <t>AGEA.ASR.2021.1854302</t>
  </si>
  <si>
    <t>AYNI ASSOCIAZIONE CULTURALE DI PROMOZIONE SOCIALE</t>
  </si>
  <si>
    <t>AGEA.ASR.2021.1759981</t>
  </si>
  <si>
    <t>COMUNE DI COMUNANZA</t>
  </si>
  <si>
    <t>AGEA.ASR.2021.1760257</t>
  </si>
  <si>
    <t>COMUNE DI APPIGNANO DEL TRONTO</t>
  </si>
  <si>
    <t>AGEA.ASR.2021.1813711</t>
  </si>
  <si>
    <t>COMUNE DI ACQUASANTA TERME</t>
  </si>
  <si>
    <t>AGEA.ASR.2021.1813584</t>
  </si>
  <si>
    <t>COMUNE DI FORCE</t>
  </si>
  <si>
    <t>COMUNE DI RIPATRANSONE</t>
  </si>
  <si>
    <t>COMUNE DI SANTA VITTORIA IN MATENANO</t>
  </si>
  <si>
    <t>AGEA.ASR.2021.1813784</t>
  </si>
  <si>
    <t>AGEA.ASR.2021.1813847</t>
  </si>
  <si>
    <t>COMUNE DI FERMO</t>
  </si>
  <si>
    <t>AGEA.ASR.2021.1814041</t>
  </si>
  <si>
    <t>COMUNE DI BOLOGNOLA</t>
  </si>
  <si>
    <t>AGEA.ASR.2021.1814105</t>
  </si>
  <si>
    <t>COMUNE DI COLLI AL METAURO</t>
  </si>
  <si>
    <t>AGEA.ASR.2021.1838243</t>
  </si>
  <si>
    <t>COMUNE DI FRONTONE</t>
  </si>
  <si>
    <t>COMUNE DI MOMBAROCCIO</t>
  </si>
  <si>
    <t>COMUNE DI PERGOLA</t>
  </si>
  <si>
    <t>COMUNE DI SAN COSTANZO</t>
  </si>
  <si>
    <t>LEVA DAVIDE</t>
  </si>
  <si>
    <t>AGEA.ASR.2021.1806508</t>
  </si>
  <si>
    <t>PIERINI MARIO</t>
  </si>
  <si>
    <t>SOCIETA' AGRICOLA UNIMARCHE S.R.L.</t>
  </si>
  <si>
    <t>AGEA.ASR.2021.1806387</t>
  </si>
  <si>
    <t>BROCCOLI TIZIANA</t>
  </si>
  <si>
    <t>COMUNE DI PONZANO DI FERMO</t>
  </si>
  <si>
    <t>AGEA.ASR.2021.1760234</t>
  </si>
  <si>
    <t>SOCIETA' AGRICOLA CIGNANO SOCIETA' SEMPLICE</t>
  </si>
  <si>
    <t>CAA CIA - MACERATA - 001</t>
  </si>
  <si>
    <t>MISICI FAUSTO</t>
  </si>
  <si>
    <t>AGEA.ASR.2021.1860000</t>
  </si>
  <si>
    <t>CAA LiberiAgricoltori - MACERATA - 006</t>
  </si>
  <si>
    <t>SILVI FABIO</t>
  </si>
  <si>
    <t>CAA LiberiAgricoltori - MACERATA - 001</t>
  </si>
  <si>
    <t>VECERRICA ELISABETTA</t>
  </si>
  <si>
    <t>CAA LiberiAgricoltori - MACERATA - 003</t>
  </si>
  <si>
    <t>PISCINI MARGHERITA</t>
  </si>
  <si>
    <t>PARIS MICHELA</t>
  </si>
  <si>
    <t>CAA Coldiretti - MACERATA - 017</t>
  </si>
  <si>
    <t>CAMPETELLA ILARIA</t>
  </si>
  <si>
    <t>CAA LiberiAgricoltori - MACERATA - 002</t>
  </si>
  <si>
    <t>SCARDALA MARIA</t>
  </si>
  <si>
    <t>MARCHETTI RICCARDO</t>
  </si>
  <si>
    <t>SANTONI FRANCESCA</t>
  </si>
  <si>
    <t>ALBERTI MATTEO</t>
  </si>
  <si>
    <t>SOCIETA' AGRICOLA CASTELLO DI CORNACUNA DI PAOLETTI LUCIA E C. S.S.</t>
  </si>
  <si>
    <t>CAA CAF AGRI - MACERATA - 224</t>
  </si>
  <si>
    <t>VITI FELICE</t>
  </si>
  <si>
    <t>CAA Copagri srl</t>
  </si>
  <si>
    <t>CAA Copagri - ANCONA - 502</t>
  </si>
  <si>
    <t>TOGNONI LORENZO</t>
  </si>
  <si>
    <t>AGEA.ASR.2021.1809162</t>
  </si>
  <si>
    <t>AGEA.ASR.2021.1854312</t>
  </si>
  <si>
    <t>ROMITI JONATHAN</t>
  </si>
  <si>
    <t>AGEA.ASR.2021.1854325</t>
  </si>
  <si>
    <t>CAA Coldiretti - FERMO - 001</t>
  </si>
  <si>
    <t>MANNOCCHI GABRIELE</t>
  </si>
  <si>
    <t>AGEA.ASR.2021.1862802</t>
  </si>
  <si>
    <t>MACERATESI MASSIMO</t>
  </si>
  <si>
    <t>AGEA.ASR.2021.1797568</t>
  </si>
  <si>
    <t>CAA Coldiretti - MACERATA - 010</t>
  </si>
  <si>
    <t>AGRIMATELICA SOCIETA' AGRICOLA A R.L.</t>
  </si>
  <si>
    <t>CAA Coldiretti - MACERATA - 018</t>
  </si>
  <si>
    <t>SOCIETA' AGRICOLA RICOTTA BENEDETTO E C. S.S.</t>
  </si>
  <si>
    <t>AGEA.ASR.2021.1820510</t>
  </si>
  <si>
    <t>LOPUSAN VILIAM</t>
  </si>
  <si>
    <t>AGEA.ASR.2021.1864908</t>
  </si>
  <si>
    <t>CAA CIA - PESARO E URBINO - 002</t>
  </si>
  <si>
    <t>SANCHINI VITTORIO</t>
  </si>
  <si>
    <t>CAA CIA - PESARO E URBINO - 005</t>
  </si>
  <si>
    <t>CAPOCCI ELIO</t>
  </si>
  <si>
    <t>CAA Coldiretti - PESARO E URBINO - 008</t>
  </si>
  <si>
    <t>AZIENDA AGRICOLA F.LLI PAGNANELLI</t>
  </si>
  <si>
    <t>CAA CIA - PESARO E URBINO - 008</t>
  </si>
  <si>
    <t>RAGNI RICCARDO</t>
  </si>
  <si>
    <t>CAA Confagricoltura - MACERATA - 001</t>
  </si>
  <si>
    <t>ZACCARINI BONELLI CAMILLO</t>
  </si>
  <si>
    <t>BONOMI SILVIA</t>
  </si>
  <si>
    <t>CAA CIA - ANCONA - 005</t>
  </si>
  <si>
    <t>PISTOLA ENRICA</t>
  </si>
  <si>
    <t>CAA CIA - RIMINI - 001</t>
  </si>
  <si>
    <t>VERDIRAME SALVATORE</t>
  </si>
  <si>
    <t>CAA Confagricoltura - FORLI' - CESENA - 001</t>
  </si>
  <si>
    <t>SOCIETA' AGRICOLA ROSSI GRAZIELLA, LILLA ANNA MARIA E C. SOCIETA' SEMP</t>
  </si>
  <si>
    <t>SCOLASTICI RAIMONDO</t>
  </si>
  <si>
    <t>CAA Coldiretti - MACERATA - 008</t>
  </si>
  <si>
    <t>ZAGAGLINI PIERALBERTO</t>
  </si>
  <si>
    <t>AZIENDA AGRICOLA RESAGRI DI RESPARAMBIA LUCA E C. S.S.</t>
  </si>
  <si>
    <t>ANGELI MIRKO</t>
  </si>
  <si>
    <t>CONGIONTI AUGUSTO</t>
  </si>
  <si>
    <t>PAOLETTI JACOPO</t>
  </si>
  <si>
    <t>TESTA LUCA</t>
  </si>
  <si>
    <t>AURELI BARBARA</t>
  </si>
  <si>
    <t>CAA Confagricoltura - ASCOLI PICENO - 001</t>
  </si>
  <si>
    <t>REBEZ LAUREATI PAOLO</t>
  </si>
  <si>
    <t>AGEA.ASR.2021.1811479</t>
  </si>
  <si>
    <t>CAA Coldiretti - ASCOLI PICENO - 010</t>
  </si>
  <si>
    <t>MERCATANTI ALESSIO</t>
  </si>
  <si>
    <t>PIGOTTI RENZO</t>
  </si>
  <si>
    <t>AZIENDA AGRICOLA F.LLI MARI SOCIETA' AGRICOLA DI PAGLIARI VITTORIA, MA</t>
  </si>
  <si>
    <t>COTTINI FRANCESCO EREDI</t>
  </si>
  <si>
    <t>SPERANZINI GIAMPAOLO</t>
  </si>
  <si>
    <t>CAA Coldiretti - PESARO E URBINO - 006</t>
  </si>
  <si>
    <t>PIERUCCI GIANMICHELE</t>
  </si>
  <si>
    <t>CAA Coldiretti - ANCONA - 005</t>
  </si>
  <si>
    <t>BIZZARRI ROLANDO</t>
  </si>
  <si>
    <t>BERDUCCI ROSSANO</t>
  </si>
  <si>
    <t>PROSPERI STEFANO</t>
  </si>
  <si>
    <t>VITA SIMONE</t>
  </si>
  <si>
    <t>SOCIETA' AGRICOLA DRSILENZI S.S.</t>
  </si>
  <si>
    <t>AGEA.ASR.2021.1859231</t>
  </si>
  <si>
    <t>SOCIETA' AGRICOLA GENTILESCHI ANDREA E CONTIGIANI CINZIA S.S</t>
  </si>
  <si>
    <t>ILARI ANTINO</t>
  </si>
  <si>
    <t>SALVI GIOVANNI</t>
  </si>
  <si>
    <t>MESCHINI MARIO</t>
  </si>
  <si>
    <t>CAA Coldiretti - ASCOLI PICENO - 040</t>
  </si>
  <si>
    <t>MECOZZI VINCENZO</t>
  </si>
  <si>
    <t>CAA Confagricoltura - PESARO E URBINO - 001</t>
  </si>
  <si>
    <t>BENEDETTI LUCA</t>
  </si>
  <si>
    <t>CAA UNICAA - ANCONA - 003</t>
  </si>
  <si>
    <t>TENAGLIA MAURA</t>
  </si>
  <si>
    <t>CAA Coldiretti - PESARO E URBINO - 004</t>
  </si>
  <si>
    <t>AZ.AGR CAU &amp; SPADA DI SPADA ANTONINO E C SOC AGR</t>
  </si>
  <si>
    <t>CAA Liberi Prof.- PESARO E URBINO - 001</t>
  </si>
  <si>
    <t>AIA VECCHIA SOCIETA' AGRICOLA S.S. DI MANDRELLI CHIARA &amp; C.</t>
  </si>
  <si>
    <t>SBRICCOLI DOMENICO</t>
  </si>
  <si>
    <t>CAA Coldiretti - MACERATA - 002</t>
  </si>
  <si>
    <t>PACCUSSE GIANNI</t>
  </si>
  <si>
    <t>SOCIETA' AGRICOLA TERRA E SOLE BOSCARINI DI BOSCARINI EMANUELE &amp; C. -</t>
  </si>
  <si>
    <t>GRADL SIMON</t>
  </si>
  <si>
    <t>MAGNANI LUANA</t>
  </si>
  <si>
    <t>SOCIETA' AGRICOLA F.LLI MULAS S.S.</t>
  </si>
  <si>
    <t>SOCIETA' AGRICOLA CAU MARCELLO &amp; C. S.S.</t>
  </si>
  <si>
    <t>AZ. AGR. LUZI GIANNALBERTO - ALESSANDRO &amp; C. SOCIETA'AGRICOLA S.S.</t>
  </si>
  <si>
    <t>CAA Confagricoltura - ANCONA - 001</t>
  </si>
  <si>
    <t>SOCIETA' AGRICOLA PRATOMAGNO S.S.</t>
  </si>
  <si>
    <t>SOC.AGR.TERRA DI MONDO SRL</t>
  </si>
  <si>
    <t>ANGELICI TERZO</t>
  </si>
  <si>
    <t>PAGGI PINO</t>
  </si>
  <si>
    <t>DINI LUIGI</t>
  </si>
  <si>
    <t>RICCIONI STEFANO</t>
  </si>
  <si>
    <t>PARIS COSTANTINO</t>
  </si>
  <si>
    <t>TONELLI ANGELO</t>
  </si>
  <si>
    <t>SISTI MARIA RITA</t>
  </si>
  <si>
    <t>SILIQUINI FRANCESCO</t>
  </si>
  <si>
    <t>COMUNANZA AGRARIA DEGLI UOMINI ORIGINARI DI SERRA SANT'ABBONDIO</t>
  </si>
  <si>
    <t>UNIVERSITA' DELLE XII FAMIGLIE ORIGINARIE DI CHIASERNA</t>
  </si>
  <si>
    <t>CAA Coldiretti - PERUGIA - 005</t>
  </si>
  <si>
    <t>PARLANI FABRIZIO</t>
  </si>
  <si>
    <t>SALTARELLI LUCA</t>
  </si>
  <si>
    <t>VIRGILI MARIANNA</t>
  </si>
  <si>
    <t>SOCIETA' AGRICOLA FAGGETI DI DIOTALEVI LUANA E C. S.S.</t>
  </si>
  <si>
    <t>SOCIETA' AGRICOLA MASCIOLI MIRCO E ROBERTO S.S.</t>
  </si>
  <si>
    <t>SOCIETA' AGRICOLA COLLE BAETO S.S.</t>
  </si>
  <si>
    <t>SOCIETA' AGRICOLA MONSIGNORI S.S.</t>
  </si>
  <si>
    <t>AGEA.ASR.2021.1760021</t>
  </si>
  <si>
    <t>SOCIETA' AGRICOLA CIU' CIU' DI BARTOLOMEI MASSIMILIANO E BARTOLOMEI WA</t>
  </si>
  <si>
    <t>I QUATTRO SOCIETA' AGRICOLA SRL</t>
  </si>
  <si>
    <t>AGUZZI MARZIO</t>
  </si>
  <si>
    <t>AGEA.ASR.2021.1759343</t>
  </si>
  <si>
    <t>CAA CIA - ASCOLI PICENO - 001</t>
  </si>
  <si>
    <t>SANTOLINI SANTA SOCIETA' AGRICOLA SEMPLICE</t>
  </si>
  <si>
    <t>AGRICOLA MONTEFIORE DI LUIGI D'AMBROGI &amp; C. S.N.C.</t>
  </si>
  <si>
    <t>MAZZONI GIANNI</t>
  </si>
  <si>
    <t>CAA UNSIC - ASCOLI PICENO - 001</t>
  </si>
  <si>
    <t>GASPERI SANDRA</t>
  </si>
  <si>
    <t>MONDOMINI SOCIETA' AGRICOLA SEMPLICE</t>
  </si>
  <si>
    <t>CAA LiberiAgricoltori - MACERATA - 004</t>
  </si>
  <si>
    <t>ORTENZI FRANCESCO</t>
  </si>
  <si>
    <t>PELLICCIA GIUSEPPE</t>
  </si>
  <si>
    <t>CAA CIA - ASCOLI PICENO - 005</t>
  </si>
  <si>
    <t>MORBIDELLI MARIELLA</t>
  </si>
  <si>
    <t>COCILOVA GIOVANNI</t>
  </si>
  <si>
    <t>POMPILI PIERA</t>
  </si>
  <si>
    <t>PIERMATTEI JURI</t>
  </si>
  <si>
    <t>DEL DOTTO PARIDE</t>
  </si>
  <si>
    <t>CICCONOFRI RENZO</t>
  </si>
  <si>
    <t>BELLEGGIA FABIO</t>
  </si>
  <si>
    <t>CIPRIANI LUANA</t>
  </si>
  <si>
    <t>GERMANI MASSIMO</t>
  </si>
  <si>
    <t>ALEOTTI GIOVAN BATTISTA</t>
  </si>
  <si>
    <t>PISCINI CARLO</t>
  </si>
  <si>
    <t>AZIENDA SPECIALE CONSORZIALE DEL CATRIA</t>
  </si>
  <si>
    <t>SOCIETA' AGRICOLA EREDI CAGNUCCI DUILIO S.S.</t>
  </si>
  <si>
    <t>SOCIETA' AGRICOLA F.LLI MARCHIONNI S.S.</t>
  </si>
  <si>
    <t>CORAZZINI PAOLO</t>
  </si>
  <si>
    <t>SOCIETA' AGRICOLA CA' MARINELLO DI FILANTI EVASIO, GIOVANNI E C. S.S.</t>
  </si>
  <si>
    <t>CAA Coldiretti - ANCONA - 002</t>
  </si>
  <si>
    <t>DE ANGELIS LUCIA</t>
  </si>
  <si>
    <t>CAA Coldiretti - MACERATA - 007</t>
  </si>
  <si>
    <t>FERRARI CRISTIANA PATRIZIA</t>
  </si>
  <si>
    <t>AGEA.ASR.2021.1759964</t>
  </si>
  <si>
    <t>ROMITELLI GIACOMO</t>
  </si>
  <si>
    <t>CAA CAF AGRI - ASCOLI PICENO - 222</t>
  </si>
  <si>
    <t>PROCACCINI LUCIA</t>
  </si>
  <si>
    <t>AGEA.ASR.2021.1789325</t>
  </si>
  <si>
    <t>AGEA.ASR.2021.1789309</t>
  </si>
  <si>
    <t>AGEA.ASR.2021.1789319</t>
  </si>
  <si>
    <t>LEONI STEFANO</t>
  </si>
  <si>
    <t>AGEA.ASR.2021.1809367</t>
  </si>
  <si>
    <t>AGEA.ASR.2021.1854288</t>
  </si>
  <si>
    <t>AGEA.ASR.2021.1854317</t>
  </si>
  <si>
    <t>AGEA.ASR.2021.1760202</t>
  </si>
  <si>
    <t>AGEA.ASR.2021.1760215</t>
  </si>
  <si>
    <t>AGEA.ASR.2021.1859303</t>
  </si>
  <si>
    <t>RICCI ANNA LUISA</t>
  </si>
  <si>
    <t>AGEA.ASR.2021.1859884</t>
  </si>
  <si>
    <t>UNIONE MONTANA ALTA VALLE DEL METAURO</t>
  </si>
  <si>
    <t>AGEA.ASR.2021.1838569</t>
  </si>
  <si>
    <t>AGEA.ASR.2021.1841930</t>
  </si>
  <si>
    <t>CONFEDERAZIONE ITALIANA AGRICOLTORI DI ASCOLI PICENO, FERMO E MACERATA</t>
  </si>
  <si>
    <t>AGEA.ASR.2021.1774074</t>
  </si>
  <si>
    <t>UNIONE MONTANA DEL CATRIA E NERONE</t>
  </si>
  <si>
    <t>FLORICOLTURA CANNELLA DI PIETRO &amp; ROBERTO SOCIETA' AGRICOLA SEMPL ICE</t>
  </si>
  <si>
    <t>SANTARONI EROS</t>
  </si>
  <si>
    <t>AGEA.ASR.2021.1761393</t>
  </si>
  <si>
    <t>AGEA.ASR.2021.1761402</t>
  </si>
  <si>
    <t>AGRICOLA ROCCHETTA SOCIETA' AGRICOLA A R.L.</t>
  </si>
  <si>
    <t>AGEA.ASR.2021.1757589</t>
  </si>
  <si>
    <t>CARTAGINE VERONICA</t>
  </si>
  <si>
    <t>COMUNE DI CERRETO D'ESI</t>
  </si>
  <si>
    <t>AGEA.ASR.2021.1868830</t>
  </si>
  <si>
    <t>COMUNE DI MATELICA</t>
  </si>
  <si>
    <t>AGEA.ASR.2021.1868861</t>
  </si>
  <si>
    <t>COMUNE DI POLLENZA</t>
  </si>
  <si>
    <t>AGEA.ASR.2021.1806646</t>
  </si>
  <si>
    <t>COMUNE DI PIORACO</t>
  </si>
  <si>
    <t>AGEA.ASR.2021.1806652</t>
  </si>
  <si>
    <t>KRUSI STEFANIA CLAUDIA</t>
  </si>
  <si>
    <t>AGEA.ASR.2021.1854211</t>
  </si>
  <si>
    <t>CAVALIER GOBBI SOCIETA' AGRICOLA SEMPLICE</t>
  </si>
  <si>
    <t>CAA CIA - ASCOLI PICENO - 004</t>
  </si>
  <si>
    <t>COSSIGNANI GIONE</t>
  </si>
  <si>
    <t>AGEA.ASR.2021.1820821</t>
  </si>
  <si>
    <t>AGEA.ASR.2021.1761411</t>
  </si>
  <si>
    <t>ENTE REGIONE MARCHE</t>
  </si>
  <si>
    <t>AGEA.ASR.2021.1758091</t>
  </si>
  <si>
    <t>QUACQUARINI LANFRANCO</t>
  </si>
  <si>
    <t>MASILI GIULIO</t>
  </si>
  <si>
    <t>SOLO BUON VINO SOC.AGRICOLA S.S.</t>
  </si>
  <si>
    <t>AGEA.ASR.2021.1760108</t>
  </si>
  <si>
    <t>SCALBI GIORGIO</t>
  </si>
  <si>
    <t>AGEA.ASR.2021.1779890</t>
  </si>
  <si>
    <t>CANNAS MARIARITA</t>
  </si>
  <si>
    <t>FERRI ALESSANDRO E DAMIANI ANNA SOCIETA' SEMPLICE</t>
  </si>
  <si>
    <t>CHERRI PAOLO</t>
  </si>
  <si>
    <t>AGEA.ASR.2021.1762019</t>
  </si>
  <si>
    <t>CAVERNI FRANCESCO</t>
  </si>
  <si>
    <t>POLITI FILIPPO</t>
  </si>
  <si>
    <t>AZIENDA AGRARIA DELL'ISTITUTO TECNICO AGRARIO A.CECCHI</t>
  </si>
  <si>
    <t>CAA CIA - PESARO E URBINO - 001</t>
  </si>
  <si>
    <t>HINTEREGGER FRIEDRICH</t>
  </si>
  <si>
    <t>ROMITI GIOVANNI</t>
  </si>
  <si>
    <t>SOCIETA' AGRICOLA GUIDI RICCARDO E MATTEO S.S.</t>
  </si>
  <si>
    <t>CAA CIA - PESARO E URBINO - 006</t>
  </si>
  <si>
    <t>RENGA RICCARDO</t>
  </si>
  <si>
    <t>NICOLINI SAURO</t>
  </si>
  <si>
    <t>CIACCI PAOLO</t>
  </si>
  <si>
    <t>GUIDUCCI FABIOLA</t>
  </si>
  <si>
    <t>CAA Coldiretti - PESARO E URBINO - 007</t>
  </si>
  <si>
    <t>BUCCHI FRANCESCO</t>
  </si>
  <si>
    <t>CORDELLA MANUEL</t>
  </si>
  <si>
    <t>EREDI SALVATORE CANNAS SOCIETA' SEMPLICE AGRICOLA</t>
  </si>
  <si>
    <t>SALTARELLI MAURO</t>
  </si>
  <si>
    <t>AGEA.ASR.2021.1811513</t>
  </si>
  <si>
    <t>LAURI ROLDANO</t>
  </si>
  <si>
    <t>MURRI PROVINO</t>
  </si>
  <si>
    <t>VIRGILI MARISA</t>
  </si>
  <si>
    <t>CAA CAF AGRI - ASCOLI PICENO - 223</t>
  </si>
  <si>
    <t>SOCIETA' AGRICOLA MONTAGNOLI S.S.</t>
  </si>
  <si>
    <t>AGEA.ASR.2021.1837084</t>
  </si>
  <si>
    <t>AGEA.ASR.2021.1760250</t>
  </si>
  <si>
    <t>COMUNE DI COSSIGNANO</t>
  </si>
  <si>
    <t>COMUNE DI OFFIDA</t>
  </si>
  <si>
    <t>COMUNE DI ROTELLA</t>
  </si>
  <si>
    <t>SABBATINI MATTEO</t>
  </si>
  <si>
    <t>AGEA.ASR.2021.1862818</t>
  </si>
  <si>
    <t>CAA CAF AGRI - ANCONA - 225</t>
  </si>
  <si>
    <t>CESARONI CLAUDIO</t>
  </si>
  <si>
    <t>SOCIETA' AGRICOLA ANGELI SOCIETA' SEMPLICE</t>
  </si>
  <si>
    <t>SOCIETA' SEMPLICE AGRICOLA LA QUERCIA DI COLOMBANO</t>
  </si>
  <si>
    <t>CAA C.A.N.A.P.A. - MACERATA - 001</t>
  </si>
  <si>
    <t>SOCIETA' AGRICOLA CARPINETI S.S.</t>
  </si>
  <si>
    <t>BONIFAZI ADRIANO</t>
  </si>
  <si>
    <t>CAA AGRISERVIZI - LATINA - 001</t>
  </si>
  <si>
    <t>GALANTI GIORGIO</t>
  </si>
  <si>
    <t>MANCINI BERARDINO</t>
  </si>
  <si>
    <t>SEBASTIANI DAMIANO</t>
  </si>
  <si>
    <t>STIGLIANO SOCIETA' COOPERATIVA AGRICOLA</t>
  </si>
  <si>
    <t>SOCIETA' AGRICOLA COSIMI S.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</si>
</sst>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250A6-1B35-4A9F-929E-B08EBB555898}">
  <dimension ref="A1:Z244"/>
  <sheetViews>
    <sheetView showGridLines="0" tabSelected="1" workbookViewId="0">
      <selection activeCell="F245" sqref="F245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7.7265625" bestFit="1" customWidth="1"/>
    <col min="5" max="5" width="20.36328125" bestFit="1" customWidth="1"/>
    <col min="6" max="6" width="26.72656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4.6328125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  <col min="257" max="257" width="9.81640625" bestFit="1" customWidth="1"/>
    <col min="258" max="258" width="10.26953125" bestFit="1" customWidth="1"/>
    <col min="259" max="259" width="11.54296875" bestFit="1" customWidth="1"/>
    <col min="260" max="260" width="27.7265625" bestFit="1" customWidth="1"/>
    <col min="261" max="261" width="20.36328125" bestFit="1" customWidth="1"/>
    <col min="262" max="262" width="26.7265625" bestFit="1" customWidth="1"/>
    <col min="263" max="263" width="5.36328125" bestFit="1" customWidth="1"/>
    <col min="264" max="264" width="8.08984375" bestFit="1" customWidth="1"/>
    <col min="265" max="265" width="13.36328125" bestFit="1" customWidth="1"/>
    <col min="266" max="266" width="12.7265625" bestFit="1" customWidth="1"/>
    <col min="267" max="268" width="10.7265625" bestFit="1" customWidth="1"/>
    <col min="269" max="269" width="14.6328125" customWidth="1"/>
    <col min="270" max="270" width="34.90625" bestFit="1" customWidth="1"/>
    <col min="271" max="271" width="11.81640625" bestFit="1" customWidth="1"/>
    <col min="272" max="272" width="14.453125" bestFit="1" customWidth="1"/>
    <col min="273" max="273" width="10.26953125" bestFit="1" customWidth="1"/>
    <col min="274" max="274" width="11.1796875" bestFit="1" customWidth="1"/>
    <col min="275" max="275" width="12.81640625" bestFit="1" customWidth="1"/>
    <col min="276" max="276" width="3.08984375" bestFit="1" customWidth="1"/>
    <col min="277" max="277" width="16.08984375" bestFit="1" customWidth="1"/>
    <col min="278" max="278" width="11.54296875" bestFit="1" customWidth="1"/>
    <col min="279" max="279" width="15.453125" bestFit="1" customWidth="1"/>
    <col min="280" max="281" width="17.08984375" bestFit="1" customWidth="1"/>
    <col min="282" max="282" width="21.26953125" bestFit="1" customWidth="1"/>
    <col min="513" max="513" width="9.81640625" bestFit="1" customWidth="1"/>
    <col min="514" max="514" width="10.26953125" bestFit="1" customWidth="1"/>
    <col min="515" max="515" width="11.54296875" bestFit="1" customWidth="1"/>
    <col min="516" max="516" width="27.7265625" bestFit="1" customWidth="1"/>
    <col min="517" max="517" width="20.36328125" bestFit="1" customWidth="1"/>
    <col min="518" max="518" width="26.7265625" bestFit="1" customWidth="1"/>
    <col min="519" max="519" width="5.36328125" bestFit="1" customWidth="1"/>
    <col min="520" max="520" width="8.08984375" bestFit="1" customWidth="1"/>
    <col min="521" max="521" width="13.36328125" bestFit="1" customWidth="1"/>
    <col min="522" max="522" width="12.7265625" bestFit="1" customWidth="1"/>
    <col min="523" max="524" width="10.7265625" bestFit="1" customWidth="1"/>
    <col min="525" max="525" width="14.6328125" customWidth="1"/>
    <col min="526" max="526" width="34.90625" bestFit="1" customWidth="1"/>
    <col min="527" max="527" width="11.81640625" bestFit="1" customWidth="1"/>
    <col min="528" max="528" width="14.453125" bestFit="1" customWidth="1"/>
    <col min="529" max="529" width="10.26953125" bestFit="1" customWidth="1"/>
    <col min="530" max="530" width="11.1796875" bestFit="1" customWidth="1"/>
    <col min="531" max="531" width="12.81640625" bestFit="1" customWidth="1"/>
    <col min="532" max="532" width="3.08984375" bestFit="1" customWidth="1"/>
    <col min="533" max="533" width="16.08984375" bestFit="1" customWidth="1"/>
    <col min="534" max="534" width="11.54296875" bestFit="1" customWidth="1"/>
    <col min="535" max="535" width="15.453125" bestFit="1" customWidth="1"/>
    <col min="536" max="537" width="17.08984375" bestFit="1" customWidth="1"/>
    <col min="538" max="538" width="21.26953125" bestFit="1" customWidth="1"/>
    <col min="769" max="769" width="9.81640625" bestFit="1" customWidth="1"/>
    <col min="770" max="770" width="10.26953125" bestFit="1" customWidth="1"/>
    <col min="771" max="771" width="11.54296875" bestFit="1" customWidth="1"/>
    <col min="772" max="772" width="27.7265625" bestFit="1" customWidth="1"/>
    <col min="773" max="773" width="20.36328125" bestFit="1" customWidth="1"/>
    <col min="774" max="774" width="26.7265625" bestFit="1" customWidth="1"/>
    <col min="775" max="775" width="5.36328125" bestFit="1" customWidth="1"/>
    <col min="776" max="776" width="8.08984375" bestFit="1" customWidth="1"/>
    <col min="777" max="777" width="13.36328125" bestFit="1" customWidth="1"/>
    <col min="778" max="778" width="12.7265625" bestFit="1" customWidth="1"/>
    <col min="779" max="780" width="10.7265625" bestFit="1" customWidth="1"/>
    <col min="781" max="781" width="14.6328125" customWidth="1"/>
    <col min="782" max="782" width="34.90625" bestFit="1" customWidth="1"/>
    <col min="783" max="783" width="11.81640625" bestFit="1" customWidth="1"/>
    <col min="784" max="784" width="14.453125" bestFit="1" customWidth="1"/>
    <col min="785" max="785" width="10.26953125" bestFit="1" customWidth="1"/>
    <col min="786" max="786" width="11.1796875" bestFit="1" customWidth="1"/>
    <col min="787" max="787" width="12.81640625" bestFit="1" customWidth="1"/>
    <col min="788" max="788" width="3.08984375" bestFit="1" customWidth="1"/>
    <col min="789" max="789" width="16.08984375" bestFit="1" customWidth="1"/>
    <col min="790" max="790" width="11.54296875" bestFit="1" customWidth="1"/>
    <col min="791" max="791" width="15.453125" bestFit="1" customWidth="1"/>
    <col min="792" max="793" width="17.08984375" bestFit="1" customWidth="1"/>
    <col min="794" max="794" width="21.26953125" bestFit="1" customWidth="1"/>
    <col min="1025" max="1025" width="9.81640625" bestFit="1" customWidth="1"/>
    <col min="1026" max="1026" width="10.26953125" bestFit="1" customWidth="1"/>
    <col min="1027" max="1027" width="11.54296875" bestFit="1" customWidth="1"/>
    <col min="1028" max="1028" width="27.7265625" bestFit="1" customWidth="1"/>
    <col min="1029" max="1029" width="20.36328125" bestFit="1" customWidth="1"/>
    <col min="1030" max="1030" width="26.7265625" bestFit="1" customWidth="1"/>
    <col min="1031" max="1031" width="5.36328125" bestFit="1" customWidth="1"/>
    <col min="1032" max="1032" width="8.08984375" bestFit="1" customWidth="1"/>
    <col min="1033" max="1033" width="13.36328125" bestFit="1" customWidth="1"/>
    <col min="1034" max="1034" width="12.7265625" bestFit="1" customWidth="1"/>
    <col min="1035" max="1036" width="10.7265625" bestFit="1" customWidth="1"/>
    <col min="1037" max="1037" width="14.6328125" customWidth="1"/>
    <col min="1038" max="1038" width="34.90625" bestFit="1" customWidth="1"/>
    <col min="1039" max="1039" width="11.81640625" bestFit="1" customWidth="1"/>
    <col min="1040" max="1040" width="14.453125" bestFit="1" customWidth="1"/>
    <col min="1041" max="1041" width="10.26953125" bestFit="1" customWidth="1"/>
    <col min="1042" max="1042" width="11.1796875" bestFit="1" customWidth="1"/>
    <col min="1043" max="1043" width="12.81640625" bestFit="1" customWidth="1"/>
    <col min="1044" max="1044" width="3.08984375" bestFit="1" customWidth="1"/>
    <col min="1045" max="1045" width="16.08984375" bestFit="1" customWidth="1"/>
    <col min="1046" max="1046" width="11.54296875" bestFit="1" customWidth="1"/>
    <col min="1047" max="1047" width="15.453125" bestFit="1" customWidth="1"/>
    <col min="1048" max="1049" width="17.08984375" bestFit="1" customWidth="1"/>
    <col min="1050" max="1050" width="21.26953125" bestFit="1" customWidth="1"/>
    <col min="1281" max="1281" width="9.81640625" bestFit="1" customWidth="1"/>
    <col min="1282" max="1282" width="10.26953125" bestFit="1" customWidth="1"/>
    <col min="1283" max="1283" width="11.54296875" bestFit="1" customWidth="1"/>
    <col min="1284" max="1284" width="27.7265625" bestFit="1" customWidth="1"/>
    <col min="1285" max="1285" width="20.36328125" bestFit="1" customWidth="1"/>
    <col min="1286" max="1286" width="26.7265625" bestFit="1" customWidth="1"/>
    <col min="1287" max="1287" width="5.36328125" bestFit="1" customWidth="1"/>
    <col min="1288" max="1288" width="8.08984375" bestFit="1" customWidth="1"/>
    <col min="1289" max="1289" width="13.36328125" bestFit="1" customWidth="1"/>
    <col min="1290" max="1290" width="12.7265625" bestFit="1" customWidth="1"/>
    <col min="1291" max="1292" width="10.7265625" bestFit="1" customWidth="1"/>
    <col min="1293" max="1293" width="14.6328125" customWidth="1"/>
    <col min="1294" max="1294" width="34.90625" bestFit="1" customWidth="1"/>
    <col min="1295" max="1295" width="11.81640625" bestFit="1" customWidth="1"/>
    <col min="1296" max="1296" width="14.453125" bestFit="1" customWidth="1"/>
    <col min="1297" max="1297" width="10.26953125" bestFit="1" customWidth="1"/>
    <col min="1298" max="1298" width="11.1796875" bestFit="1" customWidth="1"/>
    <col min="1299" max="1299" width="12.81640625" bestFit="1" customWidth="1"/>
    <col min="1300" max="1300" width="3.08984375" bestFit="1" customWidth="1"/>
    <col min="1301" max="1301" width="16.08984375" bestFit="1" customWidth="1"/>
    <col min="1302" max="1302" width="11.54296875" bestFit="1" customWidth="1"/>
    <col min="1303" max="1303" width="15.453125" bestFit="1" customWidth="1"/>
    <col min="1304" max="1305" width="17.08984375" bestFit="1" customWidth="1"/>
    <col min="1306" max="1306" width="21.26953125" bestFit="1" customWidth="1"/>
    <col min="1537" max="1537" width="9.81640625" bestFit="1" customWidth="1"/>
    <col min="1538" max="1538" width="10.26953125" bestFit="1" customWidth="1"/>
    <col min="1539" max="1539" width="11.54296875" bestFit="1" customWidth="1"/>
    <col min="1540" max="1540" width="27.7265625" bestFit="1" customWidth="1"/>
    <col min="1541" max="1541" width="20.36328125" bestFit="1" customWidth="1"/>
    <col min="1542" max="1542" width="26.7265625" bestFit="1" customWidth="1"/>
    <col min="1543" max="1543" width="5.36328125" bestFit="1" customWidth="1"/>
    <col min="1544" max="1544" width="8.08984375" bestFit="1" customWidth="1"/>
    <col min="1545" max="1545" width="13.36328125" bestFit="1" customWidth="1"/>
    <col min="1546" max="1546" width="12.7265625" bestFit="1" customWidth="1"/>
    <col min="1547" max="1548" width="10.7265625" bestFit="1" customWidth="1"/>
    <col min="1549" max="1549" width="14.6328125" customWidth="1"/>
    <col min="1550" max="1550" width="34.90625" bestFit="1" customWidth="1"/>
    <col min="1551" max="1551" width="11.81640625" bestFit="1" customWidth="1"/>
    <col min="1552" max="1552" width="14.453125" bestFit="1" customWidth="1"/>
    <col min="1553" max="1553" width="10.26953125" bestFit="1" customWidth="1"/>
    <col min="1554" max="1554" width="11.1796875" bestFit="1" customWidth="1"/>
    <col min="1555" max="1555" width="12.81640625" bestFit="1" customWidth="1"/>
    <col min="1556" max="1556" width="3.08984375" bestFit="1" customWidth="1"/>
    <col min="1557" max="1557" width="16.08984375" bestFit="1" customWidth="1"/>
    <col min="1558" max="1558" width="11.54296875" bestFit="1" customWidth="1"/>
    <col min="1559" max="1559" width="15.453125" bestFit="1" customWidth="1"/>
    <col min="1560" max="1561" width="17.08984375" bestFit="1" customWidth="1"/>
    <col min="1562" max="1562" width="21.26953125" bestFit="1" customWidth="1"/>
    <col min="1793" max="1793" width="9.81640625" bestFit="1" customWidth="1"/>
    <col min="1794" max="1794" width="10.26953125" bestFit="1" customWidth="1"/>
    <col min="1795" max="1795" width="11.54296875" bestFit="1" customWidth="1"/>
    <col min="1796" max="1796" width="27.7265625" bestFit="1" customWidth="1"/>
    <col min="1797" max="1797" width="20.36328125" bestFit="1" customWidth="1"/>
    <col min="1798" max="1798" width="26.7265625" bestFit="1" customWidth="1"/>
    <col min="1799" max="1799" width="5.36328125" bestFit="1" customWidth="1"/>
    <col min="1800" max="1800" width="8.08984375" bestFit="1" customWidth="1"/>
    <col min="1801" max="1801" width="13.36328125" bestFit="1" customWidth="1"/>
    <col min="1802" max="1802" width="12.7265625" bestFit="1" customWidth="1"/>
    <col min="1803" max="1804" width="10.7265625" bestFit="1" customWidth="1"/>
    <col min="1805" max="1805" width="14.6328125" customWidth="1"/>
    <col min="1806" max="1806" width="34.90625" bestFit="1" customWidth="1"/>
    <col min="1807" max="1807" width="11.81640625" bestFit="1" customWidth="1"/>
    <col min="1808" max="1808" width="14.453125" bestFit="1" customWidth="1"/>
    <col min="1809" max="1809" width="10.26953125" bestFit="1" customWidth="1"/>
    <col min="1810" max="1810" width="11.1796875" bestFit="1" customWidth="1"/>
    <col min="1811" max="1811" width="12.81640625" bestFit="1" customWidth="1"/>
    <col min="1812" max="1812" width="3.08984375" bestFit="1" customWidth="1"/>
    <col min="1813" max="1813" width="16.08984375" bestFit="1" customWidth="1"/>
    <col min="1814" max="1814" width="11.54296875" bestFit="1" customWidth="1"/>
    <col min="1815" max="1815" width="15.453125" bestFit="1" customWidth="1"/>
    <col min="1816" max="1817" width="17.08984375" bestFit="1" customWidth="1"/>
    <col min="1818" max="1818" width="21.26953125" bestFit="1" customWidth="1"/>
    <col min="2049" max="2049" width="9.81640625" bestFit="1" customWidth="1"/>
    <col min="2050" max="2050" width="10.26953125" bestFit="1" customWidth="1"/>
    <col min="2051" max="2051" width="11.54296875" bestFit="1" customWidth="1"/>
    <col min="2052" max="2052" width="27.7265625" bestFit="1" customWidth="1"/>
    <col min="2053" max="2053" width="20.36328125" bestFit="1" customWidth="1"/>
    <col min="2054" max="2054" width="26.7265625" bestFit="1" customWidth="1"/>
    <col min="2055" max="2055" width="5.36328125" bestFit="1" customWidth="1"/>
    <col min="2056" max="2056" width="8.08984375" bestFit="1" customWidth="1"/>
    <col min="2057" max="2057" width="13.36328125" bestFit="1" customWidth="1"/>
    <col min="2058" max="2058" width="12.7265625" bestFit="1" customWidth="1"/>
    <col min="2059" max="2060" width="10.7265625" bestFit="1" customWidth="1"/>
    <col min="2061" max="2061" width="14.6328125" customWidth="1"/>
    <col min="2062" max="2062" width="34.90625" bestFit="1" customWidth="1"/>
    <col min="2063" max="2063" width="11.81640625" bestFit="1" customWidth="1"/>
    <col min="2064" max="2064" width="14.453125" bestFit="1" customWidth="1"/>
    <col min="2065" max="2065" width="10.26953125" bestFit="1" customWidth="1"/>
    <col min="2066" max="2066" width="11.1796875" bestFit="1" customWidth="1"/>
    <col min="2067" max="2067" width="12.81640625" bestFit="1" customWidth="1"/>
    <col min="2068" max="2068" width="3.08984375" bestFit="1" customWidth="1"/>
    <col min="2069" max="2069" width="16.08984375" bestFit="1" customWidth="1"/>
    <col min="2070" max="2070" width="11.54296875" bestFit="1" customWidth="1"/>
    <col min="2071" max="2071" width="15.453125" bestFit="1" customWidth="1"/>
    <col min="2072" max="2073" width="17.08984375" bestFit="1" customWidth="1"/>
    <col min="2074" max="2074" width="21.26953125" bestFit="1" customWidth="1"/>
    <col min="2305" max="2305" width="9.81640625" bestFit="1" customWidth="1"/>
    <col min="2306" max="2306" width="10.26953125" bestFit="1" customWidth="1"/>
    <col min="2307" max="2307" width="11.54296875" bestFit="1" customWidth="1"/>
    <col min="2308" max="2308" width="27.7265625" bestFit="1" customWidth="1"/>
    <col min="2309" max="2309" width="20.36328125" bestFit="1" customWidth="1"/>
    <col min="2310" max="2310" width="26.7265625" bestFit="1" customWidth="1"/>
    <col min="2311" max="2311" width="5.36328125" bestFit="1" customWidth="1"/>
    <col min="2312" max="2312" width="8.08984375" bestFit="1" customWidth="1"/>
    <col min="2313" max="2313" width="13.36328125" bestFit="1" customWidth="1"/>
    <col min="2314" max="2314" width="12.7265625" bestFit="1" customWidth="1"/>
    <col min="2315" max="2316" width="10.7265625" bestFit="1" customWidth="1"/>
    <col min="2317" max="2317" width="14.6328125" customWidth="1"/>
    <col min="2318" max="2318" width="34.90625" bestFit="1" customWidth="1"/>
    <col min="2319" max="2319" width="11.81640625" bestFit="1" customWidth="1"/>
    <col min="2320" max="2320" width="14.453125" bestFit="1" customWidth="1"/>
    <col min="2321" max="2321" width="10.26953125" bestFit="1" customWidth="1"/>
    <col min="2322" max="2322" width="11.1796875" bestFit="1" customWidth="1"/>
    <col min="2323" max="2323" width="12.81640625" bestFit="1" customWidth="1"/>
    <col min="2324" max="2324" width="3.08984375" bestFit="1" customWidth="1"/>
    <col min="2325" max="2325" width="16.08984375" bestFit="1" customWidth="1"/>
    <col min="2326" max="2326" width="11.54296875" bestFit="1" customWidth="1"/>
    <col min="2327" max="2327" width="15.453125" bestFit="1" customWidth="1"/>
    <col min="2328" max="2329" width="17.08984375" bestFit="1" customWidth="1"/>
    <col min="2330" max="2330" width="21.26953125" bestFit="1" customWidth="1"/>
    <col min="2561" max="2561" width="9.81640625" bestFit="1" customWidth="1"/>
    <col min="2562" max="2562" width="10.26953125" bestFit="1" customWidth="1"/>
    <col min="2563" max="2563" width="11.54296875" bestFit="1" customWidth="1"/>
    <col min="2564" max="2564" width="27.7265625" bestFit="1" customWidth="1"/>
    <col min="2565" max="2565" width="20.36328125" bestFit="1" customWidth="1"/>
    <col min="2566" max="2566" width="26.7265625" bestFit="1" customWidth="1"/>
    <col min="2567" max="2567" width="5.36328125" bestFit="1" customWidth="1"/>
    <col min="2568" max="2568" width="8.08984375" bestFit="1" customWidth="1"/>
    <col min="2569" max="2569" width="13.36328125" bestFit="1" customWidth="1"/>
    <col min="2570" max="2570" width="12.7265625" bestFit="1" customWidth="1"/>
    <col min="2571" max="2572" width="10.7265625" bestFit="1" customWidth="1"/>
    <col min="2573" max="2573" width="14.6328125" customWidth="1"/>
    <col min="2574" max="2574" width="34.90625" bestFit="1" customWidth="1"/>
    <col min="2575" max="2575" width="11.81640625" bestFit="1" customWidth="1"/>
    <col min="2576" max="2576" width="14.453125" bestFit="1" customWidth="1"/>
    <col min="2577" max="2577" width="10.26953125" bestFit="1" customWidth="1"/>
    <col min="2578" max="2578" width="11.1796875" bestFit="1" customWidth="1"/>
    <col min="2579" max="2579" width="12.81640625" bestFit="1" customWidth="1"/>
    <col min="2580" max="2580" width="3.08984375" bestFit="1" customWidth="1"/>
    <col min="2581" max="2581" width="16.08984375" bestFit="1" customWidth="1"/>
    <col min="2582" max="2582" width="11.54296875" bestFit="1" customWidth="1"/>
    <col min="2583" max="2583" width="15.453125" bestFit="1" customWidth="1"/>
    <col min="2584" max="2585" width="17.08984375" bestFit="1" customWidth="1"/>
    <col min="2586" max="2586" width="21.26953125" bestFit="1" customWidth="1"/>
    <col min="2817" max="2817" width="9.81640625" bestFit="1" customWidth="1"/>
    <col min="2818" max="2818" width="10.26953125" bestFit="1" customWidth="1"/>
    <col min="2819" max="2819" width="11.54296875" bestFit="1" customWidth="1"/>
    <col min="2820" max="2820" width="27.7265625" bestFit="1" customWidth="1"/>
    <col min="2821" max="2821" width="20.36328125" bestFit="1" customWidth="1"/>
    <col min="2822" max="2822" width="26.7265625" bestFit="1" customWidth="1"/>
    <col min="2823" max="2823" width="5.36328125" bestFit="1" customWidth="1"/>
    <col min="2824" max="2824" width="8.08984375" bestFit="1" customWidth="1"/>
    <col min="2825" max="2825" width="13.36328125" bestFit="1" customWidth="1"/>
    <col min="2826" max="2826" width="12.7265625" bestFit="1" customWidth="1"/>
    <col min="2827" max="2828" width="10.7265625" bestFit="1" customWidth="1"/>
    <col min="2829" max="2829" width="14.6328125" customWidth="1"/>
    <col min="2830" max="2830" width="34.90625" bestFit="1" customWidth="1"/>
    <col min="2831" max="2831" width="11.81640625" bestFit="1" customWidth="1"/>
    <col min="2832" max="2832" width="14.453125" bestFit="1" customWidth="1"/>
    <col min="2833" max="2833" width="10.26953125" bestFit="1" customWidth="1"/>
    <col min="2834" max="2834" width="11.1796875" bestFit="1" customWidth="1"/>
    <col min="2835" max="2835" width="12.81640625" bestFit="1" customWidth="1"/>
    <col min="2836" max="2836" width="3.08984375" bestFit="1" customWidth="1"/>
    <col min="2837" max="2837" width="16.08984375" bestFit="1" customWidth="1"/>
    <col min="2838" max="2838" width="11.54296875" bestFit="1" customWidth="1"/>
    <col min="2839" max="2839" width="15.453125" bestFit="1" customWidth="1"/>
    <col min="2840" max="2841" width="17.08984375" bestFit="1" customWidth="1"/>
    <col min="2842" max="2842" width="21.26953125" bestFit="1" customWidth="1"/>
    <col min="3073" max="3073" width="9.81640625" bestFit="1" customWidth="1"/>
    <col min="3074" max="3074" width="10.26953125" bestFit="1" customWidth="1"/>
    <col min="3075" max="3075" width="11.54296875" bestFit="1" customWidth="1"/>
    <col min="3076" max="3076" width="27.7265625" bestFit="1" customWidth="1"/>
    <col min="3077" max="3077" width="20.36328125" bestFit="1" customWidth="1"/>
    <col min="3078" max="3078" width="26.7265625" bestFit="1" customWidth="1"/>
    <col min="3079" max="3079" width="5.36328125" bestFit="1" customWidth="1"/>
    <col min="3080" max="3080" width="8.08984375" bestFit="1" customWidth="1"/>
    <col min="3081" max="3081" width="13.36328125" bestFit="1" customWidth="1"/>
    <col min="3082" max="3082" width="12.7265625" bestFit="1" customWidth="1"/>
    <col min="3083" max="3084" width="10.7265625" bestFit="1" customWidth="1"/>
    <col min="3085" max="3085" width="14.6328125" customWidth="1"/>
    <col min="3086" max="3086" width="34.90625" bestFit="1" customWidth="1"/>
    <col min="3087" max="3087" width="11.81640625" bestFit="1" customWidth="1"/>
    <col min="3088" max="3088" width="14.453125" bestFit="1" customWidth="1"/>
    <col min="3089" max="3089" width="10.26953125" bestFit="1" customWidth="1"/>
    <col min="3090" max="3090" width="11.1796875" bestFit="1" customWidth="1"/>
    <col min="3091" max="3091" width="12.81640625" bestFit="1" customWidth="1"/>
    <col min="3092" max="3092" width="3.08984375" bestFit="1" customWidth="1"/>
    <col min="3093" max="3093" width="16.08984375" bestFit="1" customWidth="1"/>
    <col min="3094" max="3094" width="11.54296875" bestFit="1" customWidth="1"/>
    <col min="3095" max="3095" width="15.453125" bestFit="1" customWidth="1"/>
    <col min="3096" max="3097" width="17.08984375" bestFit="1" customWidth="1"/>
    <col min="3098" max="3098" width="21.26953125" bestFit="1" customWidth="1"/>
    <col min="3329" max="3329" width="9.81640625" bestFit="1" customWidth="1"/>
    <col min="3330" max="3330" width="10.26953125" bestFit="1" customWidth="1"/>
    <col min="3331" max="3331" width="11.54296875" bestFit="1" customWidth="1"/>
    <col min="3332" max="3332" width="27.7265625" bestFit="1" customWidth="1"/>
    <col min="3333" max="3333" width="20.36328125" bestFit="1" customWidth="1"/>
    <col min="3334" max="3334" width="26.7265625" bestFit="1" customWidth="1"/>
    <col min="3335" max="3335" width="5.36328125" bestFit="1" customWidth="1"/>
    <col min="3336" max="3336" width="8.08984375" bestFit="1" customWidth="1"/>
    <col min="3337" max="3337" width="13.36328125" bestFit="1" customWidth="1"/>
    <col min="3338" max="3338" width="12.7265625" bestFit="1" customWidth="1"/>
    <col min="3339" max="3340" width="10.7265625" bestFit="1" customWidth="1"/>
    <col min="3341" max="3341" width="14.6328125" customWidth="1"/>
    <col min="3342" max="3342" width="34.90625" bestFit="1" customWidth="1"/>
    <col min="3343" max="3343" width="11.81640625" bestFit="1" customWidth="1"/>
    <col min="3344" max="3344" width="14.453125" bestFit="1" customWidth="1"/>
    <col min="3345" max="3345" width="10.26953125" bestFit="1" customWidth="1"/>
    <col min="3346" max="3346" width="11.1796875" bestFit="1" customWidth="1"/>
    <col min="3347" max="3347" width="12.81640625" bestFit="1" customWidth="1"/>
    <col min="3348" max="3348" width="3.08984375" bestFit="1" customWidth="1"/>
    <col min="3349" max="3349" width="16.08984375" bestFit="1" customWidth="1"/>
    <col min="3350" max="3350" width="11.54296875" bestFit="1" customWidth="1"/>
    <col min="3351" max="3351" width="15.453125" bestFit="1" customWidth="1"/>
    <col min="3352" max="3353" width="17.08984375" bestFit="1" customWidth="1"/>
    <col min="3354" max="3354" width="21.26953125" bestFit="1" customWidth="1"/>
    <col min="3585" max="3585" width="9.81640625" bestFit="1" customWidth="1"/>
    <col min="3586" max="3586" width="10.26953125" bestFit="1" customWidth="1"/>
    <col min="3587" max="3587" width="11.54296875" bestFit="1" customWidth="1"/>
    <col min="3588" max="3588" width="27.7265625" bestFit="1" customWidth="1"/>
    <col min="3589" max="3589" width="20.36328125" bestFit="1" customWidth="1"/>
    <col min="3590" max="3590" width="26.7265625" bestFit="1" customWidth="1"/>
    <col min="3591" max="3591" width="5.36328125" bestFit="1" customWidth="1"/>
    <col min="3592" max="3592" width="8.08984375" bestFit="1" customWidth="1"/>
    <col min="3593" max="3593" width="13.36328125" bestFit="1" customWidth="1"/>
    <col min="3594" max="3594" width="12.7265625" bestFit="1" customWidth="1"/>
    <col min="3595" max="3596" width="10.7265625" bestFit="1" customWidth="1"/>
    <col min="3597" max="3597" width="14.6328125" customWidth="1"/>
    <col min="3598" max="3598" width="34.90625" bestFit="1" customWidth="1"/>
    <col min="3599" max="3599" width="11.81640625" bestFit="1" customWidth="1"/>
    <col min="3600" max="3600" width="14.453125" bestFit="1" customWidth="1"/>
    <col min="3601" max="3601" width="10.26953125" bestFit="1" customWidth="1"/>
    <col min="3602" max="3602" width="11.1796875" bestFit="1" customWidth="1"/>
    <col min="3603" max="3603" width="12.81640625" bestFit="1" customWidth="1"/>
    <col min="3604" max="3604" width="3.08984375" bestFit="1" customWidth="1"/>
    <col min="3605" max="3605" width="16.08984375" bestFit="1" customWidth="1"/>
    <col min="3606" max="3606" width="11.54296875" bestFit="1" customWidth="1"/>
    <col min="3607" max="3607" width="15.453125" bestFit="1" customWidth="1"/>
    <col min="3608" max="3609" width="17.08984375" bestFit="1" customWidth="1"/>
    <col min="3610" max="3610" width="21.26953125" bestFit="1" customWidth="1"/>
    <col min="3841" max="3841" width="9.81640625" bestFit="1" customWidth="1"/>
    <col min="3842" max="3842" width="10.26953125" bestFit="1" customWidth="1"/>
    <col min="3843" max="3843" width="11.54296875" bestFit="1" customWidth="1"/>
    <col min="3844" max="3844" width="27.7265625" bestFit="1" customWidth="1"/>
    <col min="3845" max="3845" width="20.36328125" bestFit="1" customWidth="1"/>
    <col min="3846" max="3846" width="26.7265625" bestFit="1" customWidth="1"/>
    <col min="3847" max="3847" width="5.36328125" bestFit="1" customWidth="1"/>
    <col min="3848" max="3848" width="8.08984375" bestFit="1" customWidth="1"/>
    <col min="3849" max="3849" width="13.36328125" bestFit="1" customWidth="1"/>
    <col min="3850" max="3850" width="12.7265625" bestFit="1" customWidth="1"/>
    <col min="3851" max="3852" width="10.7265625" bestFit="1" customWidth="1"/>
    <col min="3853" max="3853" width="14.6328125" customWidth="1"/>
    <col min="3854" max="3854" width="34.90625" bestFit="1" customWidth="1"/>
    <col min="3855" max="3855" width="11.81640625" bestFit="1" customWidth="1"/>
    <col min="3856" max="3856" width="14.453125" bestFit="1" customWidth="1"/>
    <col min="3857" max="3857" width="10.26953125" bestFit="1" customWidth="1"/>
    <col min="3858" max="3858" width="11.1796875" bestFit="1" customWidth="1"/>
    <col min="3859" max="3859" width="12.81640625" bestFit="1" customWidth="1"/>
    <col min="3860" max="3860" width="3.08984375" bestFit="1" customWidth="1"/>
    <col min="3861" max="3861" width="16.08984375" bestFit="1" customWidth="1"/>
    <col min="3862" max="3862" width="11.54296875" bestFit="1" customWidth="1"/>
    <col min="3863" max="3863" width="15.453125" bestFit="1" customWidth="1"/>
    <col min="3864" max="3865" width="17.08984375" bestFit="1" customWidth="1"/>
    <col min="3866" max="3866" width="21.26953125" bestFit="1" customWidth="1"/>
    <col min="4097" max="4097" width="9.81640625" bestFit="1" customWidth="1"/>
    <col min="4098" max="4098" width="10.26953125" bestFit="1" customWidth="1"/>
    <col min="4099" max="4099" width="11.54296875" bestFit="1" customWidth="1"/>
    <col min="4100" max="4100" width="27.7265625" bestFit="1" customWidth="1"/>
    <col min="4101" max="4101" width="20.36328125" bestFit="1" customWidth="1"/>
    <col min="4102" max="4102" width="26.7265625" bestFit="1" customWidth="1"/>
    <col min="4103" max="4103" width="5.36328125" bestFit="1" customWidth="1"/>
    <col min="4104" max="4104" width="8.08984375" bestFit="1" customWidth="1"/>
    <col min="4105" max="4105" width="13.36328125" bestFit="1" customWidth="1"/>
    <col min="4106" max="4106" width="12.7265625" bestFit="1" customWidth="1"/>
    <col min="4107" max="4108" width="10.7265625" bestFit="1" customWidth="1"/>
    <col min="4109" max="4109" width="14.6328125" customWidth="1"/>
    <col min="4110" max="4110" width="34.90625" bestFit="1" customWidth="1"/>
    <col min="4111" max="4111" width="11.81640625" bestFit="1" customWidth="1"/>
    <col min="4112" max="4112" width="14.453125" bestFit="1" customWidth="1"/>
    <col min="4113" max="4113" width="10.26953125" bestFit="1" customWidth="1"/>
    <col min="4114" max="4114" width="11.1796875" bestFit="1" customWidth="1"/>
    <col min="4115" max="4115" width="12.81640625" bestFit="1" customWidth="1"/>
    <col min="4116" max="4116" width="3.08984375" bestFit="1" customWidth="1"/>
    <col min="4117" max="4117" width="16.08984375" bestFit="1" customWidth="1"/>
    <col min="4118" max="4118" width="11.54296875" bestFit="1" customWidth="1"/>
    <col min="4119" max="4119" width="15.453125" bestFit="1" customWidth="1"/>
    <col min="4120" max="4121" width="17.08984375" bestFit="1" customWidth="1"/>
    <col min="4122" max="4122" width="21.26953125" bestFit="1" customWidth="1"/>
    <col min="4353" max="4353" width="9.81640625" bestFit="1" customWidth="1"/>
    <col min="4354" max="4354" width="10.26953125" bestFit="1" customWidth="1"/>
    <col min="4355" max="4355" width="11.54296875" bestFit="1" customWidth="1"/>
    <col min="4356" max="4356" width="27.7265625" bestFit="1" customWidth="1"/>
    <col min="4357" max="4357" width="20.36328125" bestFit="1" customWidth="1"/>
    <col min="4358" max="4358" width="26.7265625" bestFit="1" customWidth="1"/>
    <col min="4359" max="4359" width="5.36328125" bestFit="1" customWidth="1"/>
    <col min="4360" max="4360" width="8.08984375" bestFit="1" customWidth="1"/>
    <col min="4361" max="4361" width="13.36328125" bestFit="1" customWidth="1"/>
    <col min="4362" max="4362" width="12.7265625" bestFit="1" customWidth="1"/>
    <col min="4363" max="4364" width="10.7265625" bestFit="1" customWidth="1"/>
    <col min="4365" max="4365" width="14.6328125" customWidth="1"/>
    <col min="4366" max="4366" width="34.90625" bestFit="1" customWidth="1"/>
    <col min="4367" max="4367" width="11.81640625" bestFit="1" customWidth="1"/>
    <col min="4368" max="4368" width="14.453125" bestFit="1" customWidth="1"/>
    <col min="4369" max="4369" width="10.26953125" bestFit="1" customWidth="1"/>
    <col min="4370" max="4370" width="11.1796875" bestFit="1" customWidth="1"/>
    <col min="4371" max="4371" width="12.81640625" bestFit="1" customWidth="1"/>
    <col min="4372" max="4372" width="3.08984375" bestFit="1" customWidth="1"/>
    <col min="4373" max="4373" width="16.08984375" bestFit="1" customWidth="1"/>
    <col min="4374" max="4374" width="11.54296875" bestFit="1" customWidth="1"/>
    <col min="4375" max="4375" width="15.453125" bestFit="1" customWidth="1"/>
    <col min="4376" max="4377" width="17.08984375" bestFit="1" customWidth="1"/>
    <col min="4378" max="4378" width="21.26953125" bestFit="1" customWidth="1"/>
    <col min="4609" max="4609" width="9.81640625" bestFit="1" customWidth="1"/>
    <col min="4610" max="4610" width="10.26953125" bestFit="1" customWidth="1"/>
    <col min="4611" max="4611" width="11.54296875" bestFit="1" customWidth="1"/>
    <col min="4612" max="4612" width="27.7265625" bestFit="1" customWidth="1"/>
    <col min="4613" max="4613" width="20.36328125" bestFit="1" customWidth="1"/>
    <col min="4614" max="4614" width="26.7265625" bestFit="1" customWidth="1"/>
    <col min="4615" max="4615" width="5.36328125" bestFit="1" customWidth="1"/>
    <col min="4616" max="4616" width="8.08984375" bestFit="1" customWidth="1"/>
    <col min="4617" max="4617" width="13.36328125" bestFit="1" customWidth="1"/>
    <col min="4618" max="4618" width="12.7265625" bestFit="1" customWidth="1"/>
    <col min="4619" max="4620" width="10.7265625" bestFit="1" customWidth="1"/>
    <col min="4621" max="4621" width="14.6328125" customWidth="1"/>
    <col min="4622" max="4622" width="34.90625" bestFit="1" customWidth="1"/>
    <col min="4623" max="4623" width="11.81640625" bestFit="1" customWidth="1"/>
    <col min="4624" max="4624" width="14.453125" bestFit="1" customWidth="1"/>
    <col min="4625" max="4625" width="10.26953125" bestFit="1" customWidth="1"/>
    <col min="4626" max="4626" width="11.1796875" bestFit="1" customWidth="1"/>
    <col min="4627" max="4627" width="12.81640625" bestFit="1" customWidth="1"/>
    <col min="4628" max="4628" width="3.08984375" bestFit="1" customWidth="1"/>
    <col min="4629" max="4629" width="16.08984375" bestFit="1" customWidth="1"/>
    <col min="4630" max="4630" width="11.54296875" bestFit="1" customWidth="1"/>
    <col min="4631" max="4631" width="15.453125" bestFit="1" customWidth="1"/>
    <col min="4632" max="4633" width="17.08984375" bestFit="1" customWidth="1"/>
    <col min="4634" max="4634" width="21.26953125" bestFit="1" customWidth="1"/>
    <col min="4865" max="4865" width="9.81640625" bestFit="1" customWidth="1"/>
    <col min="4866" max="4866" width="10.26953125" bestFit="1" customWidth="1"/>
    <col min="4867" max="4867" width="11.54296875" bestFit="1" customWidth="1"/>
    <col min="4868" max="4868" width="27.7265625" bestFit="1" customWidth="1"/>
    <col min="4869" max="4869" width="20.36328125" bestFit="1" customWidth="1"/>
    <col min="4870" max="4870" width="26.7265625" bestFit="1" customWidth="1"/>
    <col min="4871" max="4871" width="5.36328125" bestFit="1" customWidth="1"/>
    <col min="4872" max="4872" width="8.08984375" bestFit="1" customWidth="1"/>
    <col min="4873" max="4873" width="13.36328125" bestFit="1" customWidth="1"/>
    <col min="4874" max="4874" width="12.7265625" bestFit="1" customWidth="1"/>
    <col min="4875" max="4876" width="10.7265625" bestFit="1" customWidth="1"/>
    <col min="4877" max="4877" width="14.6328125" customWidth="1"/>
    <col min="4878" max="4878" width="34.90625" bestFit="1" customWidth="1"/>
    <col min="4879" max="4879" width="11.81640625" bestFit="1" customWidth="1"/>
    <col min="4880" max="4880" width="14.453125" bestFit="1" customWidth="1"/>
    <col min="4881" max="4881" width="10.26953125" bestFit="1" customWidth="1"/>
    <col min="4882" max="4882" width="11.1796875" bestFit="1" customWidth="1"/>
    <col min="4883" max="4883" width="12.81640625" bestFit="1" customWidth="1"/>
    <col min="4884" max="4884" width="3.08984375" bestFit="1" customWidth="1"/>
    <col min="4885" max="4885" width="16.08984375" bestFit="1" customWidth="1"/>
    <col min="4886" max="4886" width="11.54296875" bestFit="1" customWidth="1"/>
    <col min="4887" max="4887" width="15.453125" bestFit="1" customWidth="1"/>
    <col min="4888" max="4889" width="17.08984375" bestFit="1" customWidth="1"/>
    <col min="4890" max="4890" width="21.26953125" bestFit="1" customWidth="1"/>
    <col min="5121" max="5121" width="9.81640625" bestFit="1" customWidth="1"/>
    <col min="5122" max="5122" width="10.26953125" bestFit="1" customWidth="1"/>
    <col min="5123" max="5123" width="11.54296875" bestFit="1" customWidth="1"/>
    <col min="5124" max="5124" width="27.7265625" bestFit="1" customWidth="1"/>
    <col min="5125" max="5125" width="20.36328125" bestFit="1" customWidth="1"/>
    <col min="5126" max="5126" width="26.7265625" bestFit="1" customWidth="1"/>
    <col min="5127" max="5127" width="5.36328125" bestFit="1" customWidth="1"/>
    <col min="5128" max="5128" width="8.08984375" bestFit="1" customWidth="1"/>
    <col min="5129" max="5129" width="13.36328125" bestFit="1" customWidth="1"/>
    <col min="5130" max="5130" width="12.7265625" bestFit="1" customWidth="1"/>
    <col min="5131" max="5132" width="10.7265625" bestFit="1" customWidth="1"/>
    <col min="5133" max="5133" width="14.6328125" customWidth="1"/>
    <col min="5134" max="5134" width="34.90625" bestFit="1" customWidth="1"/>
    <col min="5135" max="5135" width="11.81640625" bestFit="1" customWidth="1"/>
    <col min="5136" max="5136" width="14.453125" bestFit="1" customWidth="1"/>
    <col min="5137" max="5137" width="10.26953125" bestFit="1" customWidth="1"/>
    <col min="5138" max="5138" width="11.1796875" bestFit="1" customWidth="1"/>
    <col min="5139" max="5139" width="12.81640625" bestFit="1" customWidth="1"/>
    <col min="5140" max="5140" width="3.08984375" bestFit="1" customWidth="1"/>
    <col min="5141" max="5141" width="16.08984375" bestFit="1" customWidth="1"/>
    <col min="5142" max="5142" width="11.54296875" bestFit="1" customWidth="1"/>
    <col min="5143" max="5143" width="15.453125" bestFit="1" customWidth="1"/>
    <col min="5144" max="5145" width="17.08984375" bestFit="1" customWidth="1"/>
    <col min="5146" max="5146" width="21.26953125" bestFit="1" customWidth="1"/>
    <col min="5377" max="5377" width="9.81640625" bestFit="1" customWidth="1"/>
    <col min="5378" max="5378" width="10.26953125" bestFit="1" customWidth="1"/>
    <col min="5379" max="5379" width="11.54296875" bestFit="1" customWidth="1"/>
    <col min="5380" max="5380" width="27.7265625" bestFit="1" customWidth="1"/>
    <col min="5381" max="5381" width="20.36328125" bestFit="1" customWidth="1"/>
    <col min="5382" max="5382" width="26.7265625" bestFit="1" customWidth="1"/>
    <col min="5383" max="5383" width="5.36328125" bestFit="1" customWidth="1"/>
    <col min="5384" max="5384" width="8.08984375" bestFit="1" customWidth="1"/>
    <col min="5385" max="5385" width="13.36328125" bestFit="1" customWidth="1"/>
    <col min="5386" max="5386" width="12.7265625" bestFit="1" customWidth="1"/>
    <col min="5387" max="5388" width="10.7265625" bestFit="1" customWidth="1"/>
    <col min="5389" max="5389" width="14.6328125" customWidth="1"/>
    <col min="5390" max="5390" width="34.90625" bestFit="1" customWidth="1"/>
    <col min="5391" max="5391" width="11.81640625" bestFit="1" customWidth="1"/>
    <col min="5392" max="5392" width="14.453125" bestFit="1" customWidth="1"/>
    <col min="5393" max="5393" width="10.26953125" bestFit="1" customWidth="1"/>
    <col min="5394" max="5394" width="11.1796875" bestFit="1" customWidth="1"/>
    <col min="5395" max="5395" width="12.81640625" bestFit="1" customWidth="1"/>
    <col min="5396" max="5396" width="3.08984375" bestFit="1" customWidth="1"/>
    <col min="5397" max="5397" width="16.08984375" bestFit="1" customWidth="1"/>
    <col min="5398" max="5398" width="11.54296875" bestFit="1" customWidth="1"/>
    <col min="5399" max="5399" width="15.453125" bestFit="1" customWidth="1"/>
    <col min="5400" max="5401" width="17.08984375" bestFit="1" customWidth="1"/>
    <col min="5402" max="5402" width="21.26953125" bestFit="1" customWidth="1"/>
    <col min="5633" max="5633" width="9.81640625" bestFit="1" customWidth="1"/>
    <col min="5634" max="5634" width="10.26953125" bestFit="1" customWidth="1"/>
    <col min="5635" max="5635" width="11.54296875" bestFit="1" customWidth="1"/>
    <col min="5636" max="5636" width="27.7265625" bestFit="1" customWidth="1"/>
    <col min="5637" max="5637" width="20.36328125" bestFit="1" customWidth="1"/>
    <col min="5638" max="5638" width="26.7265625" bestFit="1" customWidth="1"/>
    <col min="5639" max="5639" width="5.36328125" bestFit="1" customWidth="1"/>
    <col min="5640" max="5640" width="8.08984375" bestFit="1" customWidth="1"/>
    <col min="5641" max="5641" width="13.36328125" bestFit="1" customWidth="1"/>
    <col min="5642" max="5642" width="12.7265625" bestFit="1" customWidth="1"/>
    <col min="5643" max="5644" width="10.7265625" bestFit="1" customWidth="1"/>
    <col min="5645" max="5645" width="14.6328125" customWidth="1"/>
    <col min="5646" max="5646" width="34.90625" bestFit="1" customWidth="1"/>
    <col min="5647" max="5647" width="11.81640625" bestFit="1" customWidth="1"/>
    <col min="5648" max="5648" width="14.453125" bestFit="1" customWidth="1"/>
    <col min="5649" max="5649" width="10.26953125" bestFit="1" customWidth="1"/>
    <col min="5650" max="5650" width="11.1796875" bestFit="1" customWidth="1"/>
    <col min="5651" max="5651" width="12.81640625" bestFit="1" customWidth="1"/>
    <col min="5652" max="5652" width="3.08984375" bestFit="1" customWidth="1"/>
    <col min="5653" max="5653" width="16.08984375" bestFit="1" customWidth="1"/>
    <col min="5654" max="5654" width="11.54296875" bestFit="1" customWidth="1"/>
    <col min="5655" max="5655" width="15.453125" bestFit="1" customWidth="1"/>
    <col min="5656" max="5657" width="17.08984375" bestFit="1" customWidth="1"/>
    <col min="5658" max="5658" width="21.26953125" bestFit="1" customWidth="1"/>
    <col min="5889" max="5889" width="9.81640625" bestFit="1" customWidth="1"/>
    <col min="5890" max="5890" width="10.26953125" bestFit="1" customWidth="1"/>
    <col min="5891" max="5891" width="11.54296875" bestFit="1" customWidth="1"/>
    <col min="5892" max="5892" width="27.7265625" bestFit="1" customWidth="1"/>
    <col min="5893" max="5893" width="20.36328125" bestFit="1" customWidth="1"/>
    <col min="5894" max="5894" width="26.7265625" bestFit="1" customWidth="1"/>
    <col min="5895" max="5895" width="5.36328125" bestFit="1" customWidth="1"/>
    <col min="5896" max="5896" width="8.08984375" bestFit="1" customWidth="1"/>
    <col min="5897" max="5897" width="13.36328125" bestFit="1" customWidth="1"/>
    <col min="5898" max="5898" width="12.7265625" bestFit="1" customWidth="1"/>
    <col min="5899" max="5900" width="10.7265625" bestFit="1" customWidth="1"/>
    <col min="5901" max="5901" width="14.6328125" customWidth="1"/>
    <col min="5902" max="5902" width="34.90625" bestFit="1" customWidth="1"/>
    <col min="5903" max="5903" width="11.81640625" bestFit="1" customWidth="1"/>
    <col min="5904" max="5904" width="14.453125" bestFit="1" customWidth="1"/>
    <col min="5905" max="5905" width="10.26953125" bestFit="1" customWidth="1"/>
    <col min="5906" max="5906" width="11.1796875" bestFit="1" customWidth="1"/>
    <col min="5907" max="5907" width="12.81640625" bestFit="1" customWidth="1"/>
    <col min="5908" max="5908" width="3.08984375" bestFit="1" customWidth="1"/>
    <col min="5909" max="5909" width="16.08984375" bestFit="1" customWidth="1"/>
    <col min="5910" max="5910" width="11.54296875" bestFit="1" customWidth="1"/>
    <col min="5911" max="5911" width="15.453125" bestFit="1" customWidth="1"/>
    <col min="5912" max="5913" width="17.08984375" bestFit="1" customWidth="1"/>
    <col min="5914" max="5914" width="21.26953125" bestFit="1" customWidth="1"/>
    <col min="6145" max="6145" width="9.81640625" bestFit="1" customWidth="1"/>
    <col min="6146" max="6146" width="10.26953125" bestFit="1" customWidth="1"/>
    <col min="6147" max="6147" width="11.54296875" bestFit="1" customWidth="1"/>
    <col min="6148" max="6148" width="27.7265625" bestFit="1" customWidth="1"/>
    <col min="6149" max="6149" width="20.36328125" bestFit="1" customWidth="1"/>
    <col min="6150" max="6150" width="26.7265625" bestFit="1" customWidth="1"/>
    <col min="6151" max="6151" width="5.36328125" bestFit="1" customWidth="1"/>
    <col min="6152" max="6152" width="8.08984375" bestFit="1" customWidth="1"/>
    <col min="6153" max="6153" width="13.36328125" bestFit="1" customWidth="1"/>
    <col min="6154" max="6154" width="12.7265625" bestFit="1" customWidth="1"/>
    <col min="6155" max="6156" width="10.7265625" bestFit="1" customWidth="1"/>
    <col min="6157" max="6157" width="14.6328125" customWidth="1"/>
    <col min="6158" max="6158" width="34.90625" bestFit="1" customWidth="1"/>
    <col min="6159" max="6159" width="11.81640625" bestFit="1" customWidth="1"/>
    <col min="6160" max="6160" width="14.453125" bestFit="1" customWidth="1"/>
    <col min="6161" max="6161" width="10.26953125" bestFit="1" customWidth="1"/>
    <col min="6162" max="6162" width="11.1796875" bestFit="1" customWidth="1"/>
    <col min="6163" max="6163" width="12.81640625" bestFit="1" customWidth="1"/>
    <col min="6164" max="6164" width="3.08984375" bestFit="1" customWidth="1"/>
    <col min="6165" max="6165" width="16.08984375" bestFit="1" customWidth="1"/>
    <col min="6166" max="6166" width="11.54296875" bestFit="1" customWidth="1"/>
    <col min="6167" max="6167" width="15.453125" bestFit="1" customWidth="1"/>
    <col min="6168" max="6169" width="17.08984375" bestFit="1" customWidth="1"/>
    <col min="6170" max="6170" width="21.26953125" bestFit="1" customWidth="1"/>
    <col min="6401" max="6401" width="9.81640625" bestFit="1" customWidth="1"/>
    <col min="6402" max="6402" width="10.26953125" bestFit="1" customWidth="1"/>
    <col min="6403" max="6403" width="11.54296875" bestFit="1" customWidth="1"/>
    <col min="6404" max="6404" width="27.7265625" bestFit="1" customWidth="1"/>
    <col min="6405" max="6405" width="20.36328125" bestFit="1" customWidth="1"/>
    <col min="6406" max="6406" width="26.7265625" bestFit="1" customWidth="1"/>
    <col min="6407" max="6407" width="5.36328125" bestFit="1" customWidth="1"/>
    <col min="6408" max="6408" width="8.08984375" bestFit="1" customWidth="1"/>
    <col min="6409" max="6409" width="13.36328125" bestFit="1" customWidth="1"/>
    <col min="6410" max="6410" width="12.7265625" bestFit="1" customWidth="1"/>
    <col min="6411" max="6412" width="10.7265625" bestFit="1" customWidth="1"/>
    <col min="6413" max="6413" width="14.6328125" customWidth="1"/>
    <col min="6414" max="6414" width="34.90625" bestFit="1" customWidth="1"/>
    <col min="6415" max="6415" width="11.81640625" bestFit="1" customWidth="1"/>
    <col min="6416" max="6416" width="14.453125" bestFit="1" customWidth="1"/>
    <col min="6417" max="6417" width="10.26953125" bestFit="1" customWidth="1"/>
    <col min="6418" max="6418" width="11.1796875" bestFit="1" customWidth="1"/>
    <col min="6419" max="6419" width="12.81640625" bestFit="1" customWidth="1"/>
    <col min="6420" max="6420" width="3.08984375" bestFit="1" customWidth="1"/>
    <col min="6421" max="6421" width="16.08984375" bestFit="1" customWidth="1"/>
    <col min="6422" max="6422" width="11.54296875" bestFit="1" customWidth="1"/>
    <col min="6423" max="6423" width="15.453125" bestFit="1" customWidth="1"/>
    <col min="6424" max="6425" width="17.08984375" bestFit="1" customWidth="1"/>
    <col min="6426" max="6426" width="21.26953125" bestFit="1" customWidth="1"/>
    <col min="6657" max="6657" width="9.81640625" bestFit="1" customWidth="1"/>
    <col min="6658" max="6658" width="10.26953125" bestFit="1" customWidth="1"/>
    <col min="6659" max="6659" width="11.54296875" bestFit="1" customWidth="1"/>
    <col min="6660" max="6660" width="27.7265625" bestFit="1" customWidth="1"/>
    <col min="6661" max="6661" width="20.36328125" bestFit="1" customWidth="1"/>
    <col min="6662" max="6662" width="26.7265625" bestFit="1" customWidth="1"/>
    <col min="6663" max="6663" width="5.36328125" bestFit="1" customWidth="1"/>
    <col min="6664" max="6664" width="8.08984375" bestFit="1" customWidth="1"/>
    <col min="6665" max="6665" width="13.36328125" bestFit="1" customWidth="1"/>
    <col min="6666" max="6666" width="12.7265625" bestFit="1" customWidth="1"/>
    <col min="6667" max="6668" width="10.7265625" bestFit="1" customWidth="1"/>
    <col min="6669" max="6669" width="14.6328125" customWidth="1"/>
    <col min="6670" max="6670" width="34.90625" bestFit="1" customWidth="1"/>
    <col min="6671" max="6671" width="11.81640625" bestFit="1" customWidth="1"/>
    <col min="6672" max="6672" width="14.453125" bestFit="1" customWidth="1"/>
    <col min="6673" max="6673" width="10.26953125" bestFit="1" customWidth="1"/>
    <col min="6674" max="6674" width="11.1796875" bestFit="1" customWidth="1"/>
    <col min="6675" max="6675" width="12.81640625" bestFit="1" customWidth="1"/>
    <col min="6676" max="6676" width="3.08984375" bestFit="1" customWidth="1"/>
    <col min="6677" max="6677" width="16.08984375" bestFit="1" customWidth="1"/>
    <col min="6678" max="6678" width="11.54296875" bestFit="1" customWidth="1"/>
    <col min="6679" max="6679" width="15.453125" bestFit="1" customWidth="1"/>
    <col min="6680" max="6681" width="17.08984375" bestFit="1" customWidth="1"/>
    <col min="6682" max="6682" width="21.26953125" bestFit="1" customWidth="1"/>
    <col min="6913" max="6913" width="9.81640625" bestFit="1" customWidth="1"/>
    <col min="6914" max="6914" width="10.26953125" bestFit="1" customWidth="1"/>
    <col min="6915" max="6915" width="11.54296875" bestFit="1" customWidth="1"/>
    <col min="6916" max="6916" width="27.7265625" bestFit="1" customWidth="1"/>
    <col min="6917" max="6917" width="20.36328125" bestFit="1" customWidth="1"/>
    <col min="6918" max="6918" width="26.7265625" bestFit="1" customWidth="1"/>
    <col min="6919" max="6919" width="5.36328125" bestFit="1" customWidth="1"/>
    <col min="6920" max="6920" width="8.08984375" bestFit="1" customWidth="1"/>
    <col min="6921" max="6921" width="13.36328125" bestFit="1" customWidth="1"/>
    <col min="6922" max="6922" width="12.7265625" bestFit="1" customWidth="1"/>
    <col min="6923" max="6924" width="10.7265625" bestFit="1" customWidth="1"/>
    <col min="6925" max="6925" width="14.6328125" customWidth="1"/>
    <col min="6926" max="6926" width="34.90625" bestFit="1" customWidth="1"/>
    <col min="6927" max="6927" width="11.81640625" bestFit="1" customWidth="1"/>
    <col min="6928" max="6928" width="14.453125" bestFit="1" customWidth="1"/>
    <col min="6929" max="6929" width="10.26953125" bestFit="1" customWidth="1"/>
    <col min="6930" max="6930" width="11.1796875" bestFit="1" customWidth="1"/>
    <col min="6931" max="6931" width="12.81640625" bestFit="1" customWidth="1"/>
    <col min="6932" max="6932" width="3.08984375" bestFit="1" customWidth="1"/>
    <col min="6933" max="6933" width="16.08984375" bestFit="1" customWidth="1"/>
    <col min="6934" max="6934" width="11.54296875" bestFit="1" customWidth="1"/>
    <col min="6935" max="6935" width="15.453125" bestFit="1" customWidth="1"/>
    <col min="6936" max="6937" width="17.08984375" bestFit="1" customWidth="1"/>
    <col min="6938" max="6938" width="21.26953125" bestFit="1" customWidth="1"/>
    <col min="7169" max="7169" width="9.81640625" bestFit="1" customWidth="1"/>
    <col min="7170" max="7170" width="10.26953125" bestFit="1" customWidth="1"/>
    <col min="7171" max="7171" width="11.54296875" bestFit="1" customWidth="1"/>
    <col min="7172" max="7172" width="27.7265625" bestFit="1" customWidth="1"/>
    <col min="7173" max="7173" width="20.36328125" bestFit="1" customWidth="1"/>
    <col min="7174" max="7174" width="26.7265625" bestFit="1" customWidth="1"/>
    <col min="7175" max="7175" width="5.36328125" bestFit="1" customWidth="1"/>
    <col min="7176" max="7176" width="8.08984375" bestFit="1" customWidth="1"/>
    <col min="7177" max="7177" width="13.36328125" bestFit="1" customWidth="1"/>
    <col min="7178" max="7178" width="12.7265625" bestFit="1" customWidth="1"/>
    <col min="7179" max="7180" width="10.7265625" bestFit="1" customWidth="1"/>
    <col min="7181" max="7181" width="14.6328125" customWidth="1"/>
    <col min="7182" max="7182" width="34.90625" bestFit="1" customWidth="1"/>
    <col min="7183" max="7183" width="11.81640625" bestFit="1" customWidth="1"/>
    <col min="7184" max="7184" width="14.453125" bestFit="1" customWidth="1"/>
    <col min="7185" max="7185" width="10.26953125" bestFit="1" customWidth="1"/>
    <col min="7186" max="7186" width="11.1796875" bestFit="1" customWidth="1"/>
    <col min="7187" max="7187" width="12.81640625" bestFit="1" customWidth="1"/>
    <col min="7188" max="7188" width="3.08984375" bestFit="1" customWidth="1"/>
    <col min="7189" max="7189" width="16.08984375" bestFit="1" customWidth="1"/>
    <col min="7190" max="7190" width="11.54296875" bestFit="1" customWidth="1"/>
    <col min="7191" max="7191" width="15.453125" bestFit="1" customWidth="1"/>
    <col min="7192" max="7193" width="17.08984375" bestFit="1" customWidth="1"/>
    <col min="7194" max="7194" width="21.26953125" bestFit="1" customWidth="1"/>
    <col min="7425" max="7425" width="9.81640625" bestFit="1" customWidth="1"/>
    <col min="7426" max="7426" width="10.26953125" bestFit="1" customWidth="1"/>
    <col min="7427" max="7427" width="11.54296875" bestFit="1" customWidth="1"/>
    <col min="7428" max="7428" width="27.7265625" bestFit="1" customWidth="1"/>
    <col min="7429" max="7429" width="20.36328125" bestFit="1" customWidth="1"/>
    <col min="7430" max="7430" width="26.7265625" bestFit="1" customWidth="1"/>
    <col min="7431" max="7431" width="5.36328125" bestFit="1" customWidth="1"/>
    <col min="7432" max="7432" width="8.08984375" bestFit="1" customWidth="1"/>
    <col min="7433" max="7433" width="13.36328125" bestFit="1" customWidth="1"/>
    <col min="7434" max="7434" width="12.7265625" bestFit="1" customWidth="1"/>
    <col min="7435" max="7436" width="10.7265625" bestFit="1" customWidth="1"/>
    <col min="7437" max="7437" width="14.6328125" customWidth="1"/>
    <col min="7438" max="7438" width="34.90625" bestFit="1" customWidth="1"/>
    <col min="7439" max="7439" width="11.81640625" bestFit="1" customWidth="1"/>
    <col min="7440" max="7440" width="14.453125" bestFit="1" customWidth="1"/>
    <col min="7441" max="7441" width="10.26953125" bestFit="1" customWidth="1"/>
    <col min="7442" max="7442" width="11.1796875" bestFit="1" customWidth="1"/>
    <col min="7443" max="7443" width="12.81640625" bestFit="1" customWidth="1"/>
    <col min="7444" max="7444" width="3.08984375" bestFit="1" customWidth="1"/>
    <col min="7445" max="7445" width="16.08984375" bestFit="1" customWidth="1"/>
    <col min="7446" max="7446" width="11.54296875" bestFit="1" customWidth="1"/>
    <col min="7447" max="7447" width="15.453125" bestFit="1" customWidth="1"/>
    <col min="7448" max="7449" width="17.08984375" bestFit="1" customWidth="1"/>
    <col min="7450" max="7450" width="21.26953125" bestFit="1" customWidth="1"/>
    <col min="7681" max="7681" width="9.81640625" bestFit="1" customWidth="1"/>
    <col min="7682" max="7682" width="10.26953125" bestFit="1" customWidth="1"/>
    <col min="7683" max="7683" width="11.54296875" bestFit="1" customWidth="1"/>
    <col min="7684" max="7684" width="27.7265625" bestFit="1" customWidth="1"/>
    <col min="7685" max="7685" width="20.36328125" bestFit="1" customWidth="1"/>
    <col min="7686" max="7686" width="26.7265625" bestFit="1" customWidth="1"/>
    <col min="7687" max="7687" width="5.36328125" bestFit="1" customWidth="1"/>
    <col min="7688" max="7688" width="8.08984375" bestFit="1" customWidth="1"/>
    <col min="7689" max="7689" width="13.36328125" bestFit="1" customWidth="1"/>
    <col min="7690" max="7690" width="12.7265625" bestFit="1" customWidth="1"/>
    <col min="7691" max="7692" width="10.7265625" bestFit="1" customWidth="1"/>
    <col min="7693" max="7693" width="14.6328125" customWidth="1"/>
    <col min="7694" max="7694" width="34.90625" bestFit="1" customWidth="1"/>
    <col min="7695" max="7695" width="11.81640625" bestFit="1" customWidth="1"/>
    <col min="7696" max="7696" width="14.453125" bestFit="1" customWidth="1"/>
    <col min="7697" max="7697" width="10.26953125" bestFit="1" customWidth="1"/>
    <col min="7698" max="7698" width="11.1796875" bestFit="1" customWidth="1"/>
    <col min="7699" max="7699" width="12.81640625" bestFit="1" customWidth="1"/>
    <col min="7700" max="7700" width="3.08984375" bestFit="1" customWidth="1"/>
    <col min="7701" max="7701" width="16.08984375" bestFit="1" customWidth="1"/>
    <col min="7702" max="7702" width="11.54296875" bestFit="1" customWidth="1"/>
    <col min="7703" max="7703" width="15.453125" bestFit="1" customWidth="1"/>
    <col min="7704" max="7705" width="17.08984375" bestFit="1" customWidth="1"/>
    <col min="7706" max="7706" width="21.26953125" bestFit="1" customWidth="1"/>
    <col min="7937" max="7937" width="9.81640625" bestFit="1" customWidth="1"/>
    <col min="7938" max="7938" width="10.26953125" bestFit="1" customWidth="1"/>
    <col min="7939" max="7939" width="11.54296875" bestFit="1" customWidth="1"/>
    <col min="7940" max="7940" width="27.7265625" bestFit="1" customWidth="1"/>
    <col min="7941" max="7941" width="20.36328125" bestFit="1" customWidth="1"/>
    <col min="7942" max="7942" width="26.7265625" bestFit="1" customWidth="1"/>
    <col min="7943" max="7943" width="5.36328125" bestFit="1" customWidth="1"/>
    <col min="7944" max="7944" width="8.08984375" bestFit="1" customWidth="1"/>
    <col min="7945" max="7945" width="13.36328125" bestFit="1" customWidth="1"/>
    <col min="7946" max="7946" width="12.7265625" bestFit="1" customWidth="1"/>
    <col min="7947" max="7948" width="10.7265625" bestFit="1" customWidth="1"/>
    <col min="7949" max="7949" width="14.6328125" customWidth="1"/>
    <col min="7950" max="7950" width="34.90625" bestFit="1" customWidth="1"/>
    <col min="7951" max="7951" width="11.81640625" bestFit="1" customWidth="1"/>
    <col min="7952" max="7952" width="14.453125" bestFit="1" customWidth="1"/>
    <col min="7953" max="7953" width="10.26953125" bestFit="1" customWidth="1"/>
    <col min="7954" max="7954" width="11.1796875" bestFit="1" customWidth="1"/>
    <col min="7955" max="7955" width="12.81640625" bestFit="1" customWidth="1"/>
    <col min="7956" max="7956" width="3.08984375" bestFit="1" customWidth="1"/>
    <col min="7957" max="7957" width="16.08984375" bestFit="1" customWidth="1"/>
    <col min="7958" max="7958" width="11.54296875" bestFit="1" customWidth="1"/>
    <col min="7959" max="7959" width="15.453125" bestFit="1" customWidth="1"/>
    <col min="7960" max="7961" width="17.08984375" bestFit="1" customWidth="1"/>
    <col min="7962" max="7962" width="21.26953125" bestFit="1" customWidth="1"/>
    <col min="8193" max="8193" width="9.81640625" bestFit="1" customWidth="1"/>
    <col min="8194" max="8194" width="10.26953125" bestFit="1" customWidth="1"/>
    <col min="8195" max="8195" width="11.54296875" bestFit="1" customWidth="1"/>
    <col min="8196" max="8196" width="27.7265625" bestFit="1" customWidth="1"/>
    <col min="8197" max="8197" width="20.36328125" bestFit="1" customWidth="1"/>
    <col min="8198" max="8198" width="26.7265625" bestFit="1" customWidth="1"/>
    <col min="8199" max="8199" width="5.36328125" bestFit="1" customWidth="1"/>
    <col min="8200" max="8200" width="8.08984375" bestFit="1" customWidth="1"/>
    <col min="8201" max="8201" width="13.36328125" bestFit="1" customWidth="1"/>
    <col min="8202" max="8202" width="12.7265625" bestFit="1" customWidth="1"/>
    <col min="8203" max="8204" width="10.7265625" bestFit="1" customWidth="1"/>
    <col min="8205" max="8205" width="14.6328125" customWidth="1"/>
    <col min="8206" max="8206" width="34.90625" bestFit="1" customWidth="1"/>
    <col min="8207" max="8207" width="11.81640625" bestFit="1" customWidth="1"/>
    <col min="8208" max="8208" width="14.453125" bestFit="1" customWidth="1"/>
    <col min="8209" max="8209" width="10.26953125" bestFit="1" customWidth="1"/>
    <col min="8210" max="8210" width="11.1796875" bestFit="1" customWidth="1"/>
    <col min="8211" max="8211" width="12.81640625" bestFit="1" customWidth="1"/>
    <col min="8212" max="8212" width="3.08984375" bestFit="1" customWidth="1"/>
    <col min="8213" max="8213" width="16.08984375" bestFit="1" customWidth="1"/>
    <col min="8214" max="8214" width="11.54296875" bestFit="1" customWidth="1"/>
    <col min="8215" max="8215" width="15.453125" bestFit="1" customWidth="1"/>
    <col min="8216" max="8217" width="17.08984375" bestFit="1" customWidth="1"/>
    <col min="8218" max="8218" width="21.26953125" bestFit="1" customWidth="1"/>
    <col min="8449" max="8449" width="9.81640625" bestFit="1" customWidth="1"/>
    <col min="8450" max="8450" width="10.26953125" bestFit="1" customWidth="1"/>
    <col min="8451" max="8451" width="11.54296875" bestFit="1" customWidth="1"/>
    <col min="8452" max="8452" width="27.7265625" bestFit="1" customWidth="1"/>
    <col min="8453" max="8453" width="20.36328125" bestFit="1" customWidth="1"/>
    <col min="8454" max="8454" width="26.7265625" bestFit="1" customWidth="1"/>
    <col min="8455" max="8455" width="5.36328125" bestFit="1" customWidth="1"/>
    <col min="8456" max="8456" width="8.08984375" bestFit="1" customWidth="1"/>
    <col min="8457" max="8457" width="13.36328125" bestFit="1" customWidth="1"/>
    <col min="8458" max="8458" width="12.7265625" bestFit="1" customWidth="1"/>
    <col min="8459" max="8460" width="10.7265625" bestFit="1" customWidth="1"/>
    <col min="8461" max="8461" width="14.6328125" customWidth="1"/>
    <col min="8462" max="8462" width="34.90625" bestFit="1" customWidth="1"/>
    <col min="8463" max="8463" width="11.81640625" bestFit="1" customWidth="1"/>
    <col min="8464" max="8464" width="14.453125" bestFit="1" customWidth="1"/>
    <col min="8465" max="8465" width="10.26953125" bestFit="1" customWidth="1"/>
    <col min="8466" max="8466" width="11.1796875" bestFit="1" customWidth="1"/>
    <col min="8467" max="8467" width="12.81640625" bestFit="1" customWidth="1"/>
    <col min="8468" max="8468" width="3.08984375" bestFit="1" customWidth="1"/>
    <col min="8469" max="8469" width="16.08984375" bestFit="1" customWidth="1"/>
    <col min="8470" max="8470" width="11.54296875" bestFit="1" customWidth="1"/>
    <col min="8471" max="8471" width="15.453125" bestFit="1" customWidth="1"/>
    <col min="8472" max="8473" width="17.08984375" bestFit="1" customWidth="1"/>
    <col min="8474" max="8474" width="21.26953125" bestFit="1" customWidth="1"/>
    <col min="8705" max="8705" width="9.81640625" bestFit="1" customWidth="1"/>
    <col min="8706" max="8706" width="10.26953125" bestFit="1" customWidth="1"/>
    <col min="8707" max="8707" width="11.54296875" bestFit="1" customWidth="1"/>
    <col min="8708" max="8708" width="27.7265625" bestFit="1" customWidth="1"/>
    <col min="8709" max="8709" width="20.36328125" bestFit="1" customWidth="1"/>
    <col min="8710" max="8710" width="26.7265625" bestFit="1" customWidth="1"/>
    <col min="8711" max="8711" width="5.36328125" bestFit="1" customWidth="1"/>
    <col min="8712" max="8712" width="8.08984375" bestFit="1" customWidth="1"/>
    <col min="8713" max="8713" width="13.36328125" bestFit="1" customWidth="1"/>
    <col min="8714" max="8714" width="12.7265625" bestFit="1" customWidth="1"/>
    <col min="8715" max="8716" width="10.7265625" bestFit="1" customWidth="1"/>
    <col min="8717" max="8717" width="14.6328125" customWidth="1"/>
    <col min="8718" max="8718" width="34.90625" bestFit="1" customWidth="1"/>
    <col min="8719" max="8719" width="11.81640625" bestFit="1" customWidth="1"/>
    <col min="8720" max="8720" width="14.453125" bestFit="1" customWidth="1"/>
    <col min="8721" max="8721" width="10.26953125" bestFit="1" customWidth="1"/>
    <col min="8722" max="8722" width="11.1796875" bestFit="1" customWidth="1"/>
    <col min="8723" max="8723" width="12.81640625" bestFit="1" customWidth="1"/>
    <col min="8724" max="8724" width="3.08984375" bestFit="1" customWidth="1"/>
    <col min="8725" max="8725" width="16.08984375" bestFit="1" customWidth="1"/>
    <col min="8726" max="8726" width="11.54296875" bestFit="1" customWidth="1"/>
    <col min="8727" max="8727" width="15.453125" bestFit="1" customWidth="1"/>
    <col min="8728" max="8729" width="17.08984375" bestFit="1" customWidth="1"/>
    <col min="8730" max="8730" width="21.26953125" bestFit="1" customWidth="1"/>
    <col min="8961" max="8961" width="9.81640625" bestFit="1" customWidth="1"/>
    <col min="8962" max="8962" width="10.26953125" bestFit="1" customWidth="1"/>
    <col min="8963" max="8963" width="11.54296875" bestFit="1" customWidth="1"/>
    <col min="8964" max="8964" width="27.7265625" bestFit="1" customWidth="1"/>
    <col min="8965" max="8965" width="20.36328125" bestFit="1" customWidth="1"/>
    <col min="8966" max="8966" width="26.7265625" bestFit="1" customWidth="1"/>
    <col min="8967" max="8967" width="5.36328125" bestFit="1" customWidth="1"/>
    <col min="8968" max="8968" width="8.08984375" bestFit="1" customWidth="1"/>
    <col min="8969" max="8969" width="13.36328125" bestFit="1" customWidth="1"/>
    <col min="8970" max="8970" width="12.7265625" bestFit="1" customWidth="1"/>
    <col min="8971" max="8972" width="10.7265625" bestFit="1" customWidth="1"/>
    <col min="8973" max="8973" width="14.6328125" customWidth="1"/>
    <col min="8974" max="8974" width="34.90625" bestFit="1" customWidth="1"/>
    <col min="8975" max="8975" width="11.81640625" bestFit="1" customWidth="1"/>
    <col min="8976" max="8976" width="14.453125" bestFit="1" customWidth="1"/>
    <col min="8977" max="8977" width="10.26953125" bestFit="1" customWidth="1"/>
    <col min="8978" max="8978" width="11.1796875" bestFit="1" customWidth="1"/>
    <col min="8979" max="8979" width="12.81640625" bestFit="1" customWidth="1"/>
    <col min="8980" max="8980" width="3.08984375" bestFit="1" customWidth="1"/>
    <col min="8981" max="8981" width="16.08984375" bestFit="1" customWidth="1"/>
    <col min="8982" max="8982" width="11.54296875" bestFit="1" customWidth="1"/>
    <col min="8983" max="8983" width="15.453125" bestFit="1" customWidth="1"/>
    <col min="8984" max="8985" width="17.08984375" bestFit="1" customWidth="1"/>
    <col min="8986" max="8986" width="21.26953125" bestFit="1" customWidth="1"/>
    <col min="9217" max="9217" width="9.81640625" bestFit="1" customWidth="1"/>
    <col min="9218" max="9218" width="10.26953125" bestFit="1" customWidth="1"/>
    <col min="9219" max="9219" width="11.54296875" bestFit="1" customWidth="1"/>
    <col min="9220" max="9220" width="27.7265625" bestFit="1" customWidth="1"/>
    <col min="9221" max="9221" width="20.36328125" bestFit="1" customWidth="1"/>
    <col min="9222" max="9222" width="26.7265625" bestFit="1" customWidth="1"/>
    <col min="9223" max="9223" width="5.36328125" bestFit="1" customWidth="1"/>
    <col min="9224" max="9224" width="8.08984375" bestFit="1" customWidth="1"/>
    <col min="9225" max="9225" width="13.36328125" bestFit="1" customWidth="1"/>
    <col min="9226" max="9226" width="12.7265625" bestFit="1" customWidth="1"/>
    <col min="9227" max="9228" width="10.7265625" bestFit="1" customWidth="1"/>
    <col min="9229" max="9229" width="14.6328125" customWidth="1"/>
    <col min="9230" max="9230" width="34.90625" bestFit="1" customWidth="1"/>
    <col min="9231" max="9231" width="11.81640625" bestFit="1" customWidth="1"/>
    <col min="9232" max="9232" width="14.453125" bestFit="1" customWidth="1"/>
    <col min="9233" max="9233" width="10.26953125" bestFit="1" customWidth="1"/>
    <col min="9234" max="9234" width="11.1796875" bestFit="1" customWidth="1"/>
    <col min="9235" max="9235" width="12.81640625" bestFit="1" customWidth="1"/>
    <col min="9236" max="9236" width="3.08984375" bestFit="1" customWidth="1"/>
    <col min="9237" max="9237" width="16.08984375" bestFit="1" customWidth="1"/>
    <col min="9238" max="9238" width="11.54296875" bestFit="1" customWidth="1"/>
    <col min="9239" max="9239" width="15.453125" bestFit="1" customWidth="1"/>
    <col min="9240" max="9241" width="17.08984375" bestFit="1" customWidth="1"/>
    <col min="9242" max="9242" width="21.26953125" bestFit="1" customWidth="1"/>
    <col min="9473" max="9473" width="9.81640625" bestFit="1" customWidth="1"/>
    <col min="9474" max="9474" width="10.26953125" bestFit="1" customWidth="1"/>
    <col min="9475" max="9475" width="11.54296875" bestFit="1" customWidth="1"/>
    <col min="9476" max="9476" width="27.7265625" bestFit="1" customWidth="1"/>
    <col min="9477" max="9477" width="20.36328125" bestFit="1" customWidth="1"/>
    <col min="9478" max="9478" width="26.7265625" bestFit="1" customWidth="1"/>
    <col min="9479" max="9479" width="5.36328125" bestFit="1" customWidth="1"/>
    <col min="9480" max="9480" width="8.08984375" bestFit="1" customWidth="1"/>
    <col min="9481" max="9481" width="13.36328125" bestFit="1" customWidth="1"/>
    <col min="9482" max="9482" width="12.7265625" bestFit="1" customWidth="1"/>
    <col min="9483" max="9484" width="10.7265625" bestFit="1" customWidth="1"/>
    <col min="9485" max="9485" width="14.6328125" customWidth="1"/>
    <col min="9486" max="9486" width="34.90625" bestFit="1" customWidth="1"/>
    <col min="9487" max="9487" width="11.81640625" bestFit="1" customWidth="1"/>
    <col min="9488" max="9488" width="14.453125" bestFit="1" customWidth="1"/>
    <col min="9489" max="9489" width="10.26953125" bestFit="1" customWidth="1"/>
    <col min="9490" max="9490" width="11.1796875" bestFit="1" customWidth="1"/>
    <col min="9491" max="9491" width="12.81640625" bestFit="1" customWidth="1"/>
    <col min="9492" max="9492" width="3.08984375" bestFit="1" customWidth="1"/>
    <col min="9493" max="9493" width="16.08984375" bestFit="1" customWidth="1"/>
    <col min="9494" max="9494" width="11.54296875" bestFit="1" customWidth="1"/>
    <col min="9495" max="9495" width="15.453125" bestFit="1" customWidth="1"/>
    <col min="9496" max="9497" width="17.08984375" bestFit="1" customWidth="1"/>
    <col min="9498" max="9498" width="21.26953125" bestFit="1" customWidth="1"/>
    <col min="9729" max="9729" width="9.81640625" bestFit="1" customWidth="1"/>
    <col min="9730" max="9730" width="10.26953125" bestFit="1" customWidth="1"/>
    <col min="9731" max="9731" width="11.54296875" bestFit="1" customWidth="1"/>
    <col min="9732" max="9732" width="27.7265625" bestFit="1" customWidth="1"/>
    <col min="9733" max="9733" width="20.36328125" bestFit="1" customWidth="1"/>
    <col min="9734" max="9734" width="26.7265625" bestFit="1" customWidth="1"/>
    <col min="9735" max="9735" width="5.36328125" bestFit="1" customWidth="1"/>
    <col min="9736" max="9736" width="8.08984375" bestFit="1" customWidth="1"/>
    <col min="9737" max="9737" width="13.36328125" bestFit="1" customWidth="1"/>
    <col min="9738" max="9738" width="12.7265625" bestFit="1" customWidth="1"/>
    <col min="9739" max="9740" width="10.7265625" bestFit="1" customWidth="1"/>
    <col min="9741" max="9741" width="14.6328125" customWidth="1"/>
    <col min="9742" max="9742" width="34.90625" bestFit="1" customWidth="1"/>
    <col min="9743" max="9743" width="11.81640625" bestFit="1" customWidth="1"/>
    <col min="9744" max="9744" width="14.453125" bestFit="1" customWidth="1"/>
    <col min="9745" max="9745" width="10.26953125" bestFit="1" customWidth="1"/>
    <col min="9746" max="9746" width="11.1796875" bestFit="1" customWidth="1"/>
    <col min="9747" max="9747" width="12.81640625" bestFit="1" customWidth="1"/>
    <col min="9748" max="9748" width="3.08984375" bestFit="1" customWidth="1"/>
    <col min="9749" max="9749" width="16.08984375" bestFit="1" customWidth="1"/>
    <col min="9750" max="9750" width="11.54296875" bestFit="1" customWidth="1"/>
    <col min="9751" max="9751" width="15.453125" bestFit="1" customWidth="1"/>
    <col min="9752" max="9753" width="17.08984375" bestFit="1" customWidth="1"/>
    <col min="9754" max="9754" width="21.26953125" bestFit="1" customWidth="1"/>
    <col min="9985" max="9985" width="9.81640625" bestFit="1" customWidth="1"/>
    <col min="9986" max="9986" width="10.26953125" bestFit="1" customWidth="1"/>
    <col min="9987" max="9987" width="11.54296875" bestFit="1" customWidth="1"/>
    <col min="9988" max="9988" width="27.7265625" bestFit="1" customWidth="1"/>
    <col min="9989" max="9989" width="20.36328125" bestFit="1" customWidth="1"/>
    <col min="9990" max="9990" width="26.7265625" bestFit="1" customWidth="1"/>
    <col min="9991" max="9991" width="5.36328125" bestFit="1" customWidth="1"/>
    <col min="9992" max="9992" width="8.08984375" bestFit="1" customWidth="1"/>
    <col min="9993" max="9993" width="13.36328125" bestFit="1" customWidth="1"/>
    <col min="9994" max="9994" width="12.7265625" bestFit="1" customWidth="1"/>
    <col min="9995" max="9996" width="10.7265625" bestFit="1" customWidth="1"/>
    <col min="9997" max="9997" width="14.6328125" customWidth="1"/>
    <col min="9998" max="9998" width="34.90625" bestFit="1" customWidth="1"/>
    <col min="9999" max="9999" width="11.81640625" bestFit="1" customWidth="1"/>
    <col min="10000" max="10000" width="14.453125" bestFit="1" customWidth="1"/>
    <col min="10001" max="10001" width="10.26953125" bestFit="1" customWidth="1"/>
    <col min="10002" max="10002" width="11.1796875" bestFit="1" customWidth="1"/>
    <col min="10003" max="10003" width="12.81640625" bestFit="1" customWidth="1"/>
    <col min="10004" max="10004" width="3.08984375" bestFit="1" customWidth="1"/>
    <col min="10005" max="10005" width="16.08984375" bestFit="1" customWidth="1"/>
    <col min="10006" max="10006" width="11.54296875" bestFit="1" customWidth="1"/>
    <col min="10007" max="10007" width="15.453125" bestFit="1" customWidth="1"/>
    <col min="10008" max="10009" width="17.08984375" bestFit="1" customWidth="1"/>
    <col min="10010" max="10010" width="21.26953125" bestFit="1" customWidth="1"/>
    <col min="10241" max="10241" width="9.81640625" bestFit="1" customWidth="1"/>
    <col min="10242" max="10242" width="10.26953125" bestFit="1" customWidth="1"/>
    <col min="10243" max="10243" width="11.54296875" bestFit="1" customWidth="1"/>
    <col min="10244" max="10244" width="27.7265625" bestFit="1" customWidth="1"/>
    <col min="10245" max="10245" width="20.36328125" bestFit="1" customWidth="1"/>
    <col min="10246" max="10246" width="26.7265625" bestFit="1" customWidth="1"/>
    <col min="10247" max="10247" width="5.36328125" bestFit="1" customWidth="1"/>
    <col min="10248" max="10248" width="8.08984375" bestFit="1" customWidth="1"/>
    <col min="10249" max="10249" width="13.36328125" bestFit="1" customWidth="1"/>
    <col min="10250" max="10250" width="12.7265625" bestFit="1" customWidth="1"/>
    <col min="10251" max="10252" width="10.7265625" bestFit="1" customWidth="1"/>
    <col min="10253" max="10253" width="14.6328125" customWidth="1"/>
    <col min="10254" max="10254" width="34.90625" bestFit="1" customWidth="1"/>
    <col min="10255" max="10255" width="11.81640625" bestFit="1" customWidth="1"/>
    <col min="10256" max="10256" width="14.453125" bestFit="1" customWidth="1"/>
    <col min="10257" max="10257" width="10.26953125" bestFit="1" customWidth="1"/>
    <col min="10258" max="10258" width="11.1796875" bestFit="1" customWidth="1"/>
    <col min="10259" max="10259" width="12.81640625" bestFit="1" customWidth="1"/>
    <col min="10260" max="10260" width="3.08984375" bestFit="1" customWidth="1"/>
    <col min="10261" max="10261" width="16.08984375" bestFit="1" customWidth="1"/>
    <col min="10262" max="10262" width="11.54296875" bestFit="1" customWidth="1"/>
    <col min="10263" max="10263" width="15.453125" bestFit="1" customWidth="1"/>
    <col min="10264" max="10265" width="17.08984375" bestFit="1" customWidth="1"/>
    <col min="10266" max="10266" width="21.26953125" bestFit="1" customWidth="1"/>
    <col min="10497" max="10497" width="9.81640625" bestFit="1" customWidth="1"/>
    <col min="10498" max="10498" width="10.26953125" bestFit="1" customWidth="1"/>
    <col min="10499" max="10499" width="11.54296875" bestFit="1" customWidth="1"/>
    <col min="10500" max="10500" width="27.7265625" bestFit="1" customWidth="1"/>
    <col min="10501" max="10501" width="20.36328125" bestFit="1" customWidth="1"/>
    <col min="10502" max="10502" width="26.7265625" bestFit="1" customWidth="1"/>
    <col min="10503" max="10503" width="5.36328125" bestFit="1" customWidth="1"/>
    <col min="10504" max="10504" width="8.08984375" bestFit="1" customWidth="1"/>
    <col min="10505" max="10505" width="13.36328125" bestFit="1" customWidth="1"/>
    <col min="10506" max="10506" width="12.7265625" bestFit="1" customWidth="1"/>
    <col min="10507" max="10508" width="10.7265625" bestFit="1" customWidth="1"/>
    <col min="10509" max="10509" width="14.6328125" customWidth="1"/>
    <col min="10510" max="10510" width="34.90625" bestFit="1" customWidth="1"/>
    <col min="10511" max="10511" width="11.81640625" bestFit="1" customWidth="1"/>
    <col min="10512" max="10512" width="14.453125" bestFit="1" customWidth="1"/>
    <col min="10513" max="10513" width="10.26953125" bestFit="1" customWidth="1"/>
    <col min="10514" max="10514" width="11.1796875" bestFit="1" customWidth="1"/>
    <col min="10515" max="10515" width="12.81640625" bestFit="1" customWidth="1"/>
    <col min="10516" max="10516" width="3.08984375" bestFit="1" customWidth="1"/>
    <col min="10517" max="10517" width="16.08984375" bestFit="1" customWidth="1"/>
    <col min="10518" max="10518" width="11.54296875" bestFit="1" customWidth="1"/>
    <col min="10519" max="10519" width="15.453125" bestFit="1" customWidth="1"/>
    <col min="10520" max="10521" width="17.08984375" bestFit="1" customWidth="1"/>
    <col min="10522" max="10522" width="21.26953125" bestFit="1" customWidth="1"/>
    <col min="10753" max="10753" width="9.81640625" bestFit="1" customWidth="1"/>
    <col min="10754" max="10754" width="10.26953125" bestFit="1" customWidth="1"/>
    <col min="10755" max="10755" width="11.54296875" bestFit="1" customWidth="1"/>
    <col min="10756" max="10756" width="27.7265625" bestFit="1" customWidth="1"/>
    <col min="10757" max="10757" width="20.36328125" bestFit="1" customWidth="1"/>
    <col min="10758" max="10758" width="26.7265625" bestFit="1" customWidth="1"/>
    <col min="10759" max="10759" width="5.36328125" bestFit="1" customWidth="1"/>
    <col min="10760" max="10760" width="8.08984375" bestFit="1" customWidth="1"/>
    <col min="10761" max="10761" width="13.36328125" bestFit="1" customWidth="1"/>
    <col min="10762" max="10762" width="12.7265625" bestFit="1" customWidth="1"/>
    <col min="10763" max="10764" width="10.7265625" bestFit="1" customWidth="1"/>
    <col min="10765" max="10765" width="14.6328125" customWidth="1"/>
    <col min="10766" max="10766" width="34.90625" bestFit="1" customWidth="1"/>
    <col min="10767" max="10767" width="11.81640625" bestFit="1" customWidth="1"/>
    <col min="10768" max="10768" width="14.453125" bestFit="1" customWidth="1"/>
    <col min="10769" max="10769" width="10.26953125" bestFit="1" customWidth="1"/>
    <col min="10770" max="10770" width="11.1796875" bestFit="1" customWidth="1"/>
    <col min="10771" max="10771" width="12.81640625" bestFit="1" customWidth="1"/>
    <col min="10772" max="10772" width="3.08984375" bestFit="1" customWidth="1"/>
    <col min="10773" max="10773" width="16.08984375" bestFit="1" customWidth="1"/>
    <col min="10774" max="10774" width="11.54296875" bestFit="1" customWidth="1"/>
    <col min="10775" max="10775" width="15.453125" bestFit="1" customWidth="1"/>
    <col min="10776" max="10777" width="17.08984375" bestFit="1" customWidth="1"/>
    <col min="10778" max="10778" width="21.26953125" bestFit="1" customWidth="1"/>
    <col min="11009" max="11009" width="9.81640625" bestFit="1" customWidth="1"/>
    <col min="11010" max="11010" width="10.26953125" bestFit="1" customWidth="1"/>
    <col min="11011" max="11011" width="11.54296875" bestFit="1" customWidth="1"/>
    <col min="11012" max="11012" width="27.7265625" bestFit="1" customWidth="1"/>
    <col min="11013" max="11013" width="20.36328125" bestFit="1" customWidth="1"/>
    <col min="11014" max="11014" width="26.7265625" bestFit="1" customWidth="1"/>
    <col min="11015" max="11015" width="5.36328125" bestFit="1" customWidth="1"/>
    <col min="11016" max="11016" width="8.08984375" bestFit="1" customWidth="1"/>
    <col min="11017" max="11017" width="13.36328125" bestFit="1" customWidth="1"/>
    <col min="11018" max="11018" width="12.7265625" bestFit="1" customWidth="1"/>
    <col min="11019" max="11020" width="10.7265625" bestFit="1" customWidth="1"/>
    <col min="11021" max="11021" width="14.6328125" customWidth="1"/>
    <col min="11022" max="11022" width="34.90625" bestFit="1" customWidth="1"/>
    <col min="11023" max="11023" width="11.81640625" bestFit="1" customWidth="1"/>
    <col min="11024" max="11024" width="14.453125" bestFit="1" customWidth="1"/>
    <col min="11025" max="11025" width="10.26953125" bestFit="1" customWidth="1"/>
    <col min="11026" max="11026" width="11.1796875" bestFit="1" customWidth="1"/>
    <col min="11027" max="11027" width="12.81640625" bestFit="1" customWidth="1"/>
    <col min="11028" max="11028" width="3.08984375" bestFit="1" customWidth="1"/>
    <col min="11029" max="11029" width="16.08984375" bestFit="1" customWidth="1"/>
    <col min="11030" max="11030" width="11.54296875" bestFit="1" customWidth="1"/>
    <col min="11031" max="11031" width="15.453125" bestFit="1" customWidth="1"/>
    <col min="11032" max="11033" width="17.08984375" bestFit="1" customWidth="1"/>
    <col min="11034" max="11034" width="21.26953125" bestFit="1" customWidth="1"/>
    <col min="11265" max="11265" width="9.81640625" bestFit="1" customWidth="1"/>
    <col min="11266" max="11266" width="10.26953125" bestFit="1" customWidth="1"/>
    <col min="11267" max="11267" width="11.54296875" bestFit="1" customWidth="1"/>
    <col min="11268" max="11268" width="27.7265625" bestFit="1" customWidth="1"/>
    <col min="11269" max="11269" width="20.36328125" bestFit="1" customWidth="1"/>
    <col min="11270" max="11270" width="26.7265625" bestFit="1" customWidth="1"/>
    <col min="11271" max="11271" width="5.36328125" bestFit="1" customWidth="1"/>
    <col min="11272" max="11272" width="8.08984375" bestFit="1" customWidth="1"/>
    <col min="11273" max="11273" width="13.36328125" bestFit="1" customWidth="1"/>
    <col min="11274" max="11274" width="12.7265625" bestFit="1" customWidth="1"/>
    <col min="11275" max="11276" width="10.7265625" bestFit="1" customWidth="1"/>
    <col min="11277" max="11277" width="14.6328125" customWidth="1"/>
    <col min="11278" max="11278" width="34.90625" bestFit="1" customWidth="1"/>
    <col min="11279" max="11279" width="11.81640625" bestFit="1" customWidth="1"/>
    <col min="11280" max="11280" width="14.453125" bestFit="1" customWidth="1"/>
    <col min="11281" max="11281" width="10.26953125" bestFit="1" customWidth="1"/>
    <col min="11282" max="11282" width="11.1796875" bestFit="1" customWidth="1"/>
    <col min="11283" max="11283" width="12.81640625" bestFit="1" customWidth="1"/>
    <col min="11284" max="11284" width="3.08984375" bestFit="1" customWidth="1"/>
    <col min="11285" max="11285" width="16.08984375" bestFit="1" customWidth="1"/>
    <col min="11286" max="11286" width="11.54296875" bestFit="1" customWidth="1"/>
    <col min="11287" max="11287" width="15.453125" bestFit="1" customWidth="1"/>
    <col min="11288" max="11289" width="17.08984375" bestFit="1" customWidth="1"/>
    <col min="11290" max="11290" width="21.26953125" bestFit="1" customWidth="1"/>
    <col min="11521" max="11521" width="9.81640625" bestFit="1" customWidth="1"/>
    <col min="11522" max="11522" width="10.26953125" bestFit="1" customWidth="1"/>
    <col min="11523" max="11523" width="11.54296875" bestFit="1" customWidth="1"/>
    <col min="11524" max="11524" width="27.7265625" bestFit="1" customWidth="1"/>
    <col min="11525" max="11525" width="20.36328125" bestFit="1" customWidth="1"/>
    <col min="11526" max="11526" width="26.7265625" bestFit="1" customWidth="1"/>
    <col min="11527" max="11527" width="5.36328125" bestFit="1" customWidth="1"/>
    <col min="11528" max="11528" width="8.08984375" bestFit="1" customWidth="1"/>
    <col min="11529" max="11529" width="13.36328125" bestFit="1" customWidth="1"/>
    <col min="11530" max="11530" width="12.7265625" bestFit="1" customWidth="1"/>
    <col min="11531" max="11532" width="10.7265625" bestFit="1" customWidth="1"/>
    <col min="11533" max="11533" width="14.6328125" customWidth="1"/>
    <col min="11534" max="11534" width="34.90625" bestFit="1" customWidth="1"/>
    <col min="11535" max="11535" width="11.81640625" bestFit="1" customWidth="1"/>
    <col min="11536" max="11536" width="14.453125" bestFit="1" customWidth="1"/>
    <col min="11537" max="11537" width="10.26953125" bestFit="1" customWidth="1"/>
    <col min="11538" max="11538" width="11.1796875" bestFit="1" customWidth="1"/>
    <col min="11539" max="11539" width="12.81640625" bestFit="1" customWidth="1"/>
    <col min="11540" max="11540" width="3.08984375" bestFit="1" customWidth="1"/>
    <col min="11541" max="11541" width="16.08984375" bestFit="1" customWidth="1"/>
    <col min="11542" max="11542" width="11.54296875" bestFit="1" customWidth="1"/>
    <col min="11543" max="11543" width="15.453125" bestFit="1" customWidth="1"/>
    <col min="11544" max="11545" width="17.08984375" bestFit="1" customWidth="1"/>
    <col min="11546" max="11546" width="21.26953125" bestFit="1" customWidth="1"/>
    <col min="11777" max="11777" width="9.81640625" bestFit="1" customWidth="1"/>
    <col min="11778" max="11778" width="10.26953125" bestFit="1" customWidth="1"/>
    <col min="11779" max="11779" width="11.54296875" bestFit="1" customWidth="1"/>
    <col min="11780" max="11780" width="27.7265625" bestFit="1" customWidth="1"/>
    <col min="11781" max="11781" width="20.36328125" bestFit="1" customWidth="1"/>
    <col min="11782" max="11782" width="26.7265625" bestFit="1" customWidth="1"/>
    <col min="11783" max="11783" width="5.36328125" bestFit="1" customWidth="1"/>
    <col min="11784" max="11784" width="8.08984375" bestFit="1" customWidth="1"/>
    <col min="11785" max="11785" width="13.36328125" bestFit="1" customWidth="1"/>
    <col min="11786" max="11786" width="12.7265625" bestFit="1" customWidth="1"/>
    <col min="11787" max="11788" width="10.7265625" bestFit="1" customWidth="1"/>
    <col min="11789" max="11789" width="14.6328125" customWidth="1"/>
    <col min="11790" max="11790" width="34.90625" bestFit="1" customWidth="1"/>
    <col min="11791" max="11791" width="11.81640625" bestFit="1" customWidth="1"/>
    <col min="11792" max="11792" width="14.453125" bestFit="1" customWidth="1"/>
    <col min="11793" max="11793" width="10.26953125" bestFit="1" customWidth="1"/>
    <col min="11794" max="11794" width="11.1796875" bestFit="1" customWidth="1"/>
    <col min="11795" max="11795" width="12.81640625" bestFit="1" customWidth="1"/>
    <col min="11796" max="11796" width="3.08984375" bestFit="1" customWidth="1"/>
    <col min="11797" max="11797" width="16.08984375" bestFit="1" customWidth="1"/>
    <col min="11798" max="11798" width="11.54296875" bestFit="1" customWidth="1"/>
    <col min="11799" max="11799" width="15.453125" bestFit="1" customWidth="1"/>
    <col min="11800" max="11801" width="17.08984375" bestFit="1" customWidth="1"/>
    <col min="11802" max="11802" width="21.26953125" bestFit="1" customWidth="1"/>
    <col min="12033" max="12033" width="9.81640625" bestFit="1" customWidth="1"/>
    <col min="12034" max="12034" width="10.26953125" bestFit="1" customWidth="1"/>
    <col min="12035" max="12035" width="11.54296875" bestFit="1" customWidth="1"/>
    <col min="12036" max="12036" width="27.7265625" bestFit="1" customWidth="1"/>
    <col min="12037" max="12037" width="20.36328125" bestFit="1" customWidth="1"/>
    <col min="12038" max="12038" width="26.7265625" bestFit="1" customWidth="1"/>
    <col min="12039" max="12039" width="5.36328125" bestFit="1" customWidth="1"/>
    <col min="12040" max="12040" width="8.08984375" bestFit="1" customWidth="1"/>
    <col min="12041" max="12041" width="13.36328125" bestFit="1" customWidth="1"/>
    <col min="12042" max="12042" width="12.7265625" bestFit="1" customWidth="1"/>
    <col min="12043" max="12044" width="10.7265625" bestFit="1" customWidth="1"/>
    <col min="12045" max="12045" width="14.6328125" customWidth="1"/>
    <col min="12046" max="12046" width="34.90625" bestFit="1" customWidth="1"/>
    <col min="12047" max="12047" width="11.81640625" bestFit="1" customWidth="1"/>
    <col min="12048" max="12048" width="14.453125" bestFit="1" customWidth="1"/>
    <col min="12049" max="12049" width="10.26953125" bestFit="1" customWidth="1"/>
    <col min="12050" max="12050" width="11.1796875" bestFit="1" customWidth="1"/>
    <col min="12051" max="12051" width="12.81640625" bestFit="1" customWidth="1"/>
    <col min="12052" max="12052" width="3.08984375" bestFit="1" customWidth="1"/>
    <col min="12053" max="12053" width="16.08984375" bestFit="1" customWidth="1"/>
    <col min="12054" max="12054" width="11.54296875" bestFit="1" customWidth="1"/>
    <col min="12055" max="12055" width="15.453125" bestFit="1" customWidth="1"/>
    <col min="12056" max="12057" width="17.08984375" bestFit="1" customWidth="1"/>
    <col min="12058" max="12058" width="21.26953125" bestFit="1" customWidth="1"/>
    <col min="12289" max="12289" width="9.81640625" bestFit="1" customWidth="1"/>
    <col min="12290" max="12290" width="10.26953125" bestFit="1" customWidth="1"/>
    <col min="12291" max="12291" width="11.54296875" bestFit="1" customWidth="1"/>
    <col min="12292" max="12292" width="27.7265625" bestFit="1" customWidth="1"/>
    <col min="12293" max="12293" width="20.36328125" bestFit="1" customWidth="1"/>
    <col min="12294" max="12294" width="26.7265625" bestFit="1" customWidth="1"/>
    <col min="12295" max="12295" width="5.36328125" bestFit="1" customWidth="1"/>
    <col min="12296" max="12296" width="8.08984375" bestFit="1" customWidth="1"/>
    <col min="12297" max="12297" width="13.36328125" bestFit="1" customWidth="1"/>
    <col min="12298" max="12298" width="12.7265625" bestFit="1" customWidth="1"/>
    <col min="12299" max="12300" width="10.7265625" bestFit="1" customWidth="1"/>
    <col min="12301" max="12301" width="14.6328125" customWidth="1"/>
    <col min="12302" max="12302" width="34.90625" bestFit="1" customWidth="1"/>
    <col min="12303" max="12303" width="11.81640625" bestFit="1" customWidth="1"/>
    <col min="12304" max="12304" width="14.453125" bestFit="1" customWidth="1"/>
    <col min="12305" max="12305" width="10.26953125" bestFit="1" customWidth="1"/>
    <col min="12306" max="12306" width="11.1796875" bestFit="1" customWidth="1"/>
    <col min="12307" max="12307" width="12.81640625" bestFit="1" customWidth="1"/>
    <col min="12308" max="12308" width="3.08984375" bestFit="1" customWidth="1"/>
    <col min="12309" max="12309" width="16.08984375" bestFit="1" customWidth="1"/>
    <col min="12310" max="12310" width="11.54296875" bestFit="1" customWidth="1"/>
    <col min="12311" max="12311" width="15.453125" bestFit="1" customWidth="1"/>
    <col min="12312" max="12313" width="17.08984375" bestFit="1" customWidth="1"/>
    <col min="12314" max="12314" width="21.26953125" bestFit="1" customWidth="1"/>
    <col min="12545" max="12545" width="9.81640625" bestFit="1" customWidth="1"/>
    <col min="12546" max="12546" width="10.26953125" bestFit="1" customWidth="1"/>
    <col min="12547" max="12547" width="11.54296875" bestFit="1" customWidth="1"/>
    <col min="12548" max="12548" width="27.7265625" bestFit="1" customWidth="1"/>
    <col min="12549" max="12549" width="20.36328125" bestFit="1" customWidth="1"/>
    <col min="12550" max="12550" width="26.7265625" bestFit="1" customWidth="1"/>
    <col min="12551" max="12551" width="5.36328125" bestFit="1" customWidth="1"/>
    <col min="12552" max="12552" width="8.08984375" bestFit="1" customWidth="1"/>
    <col min="12553" max="12553" width="13.36328125" bestFit="1" customWidth="1"/>
    <col min="12554" max="12554" width="12.7265625" bestFit="1" customWidth="1"/>
    <col min="12555" max="12556" width="10.7265625" bestFit="1" customWidth="1"/>
    <col min="12557" max="12557" width="14.6328125" customWidth="1"/>
    <col min="12558" max="12558" width="34.90625" bestFit="1" customWidth="1"/>
    <col min="12559" max="12559" width="11.81640625" bestFit="1" customWidth="1"/>
    <col min="12560" max="12560" width="14.453125" bestFit="1" customWidth="1"/>
    <col min="12561" max="12561" width="10.26953125" bestFit="1" customWidth="1"/>
    <col min="12562" max="12562" width="11.1796875" bestFit="1" customWidth="1"/>
    <col min="12563" max="12563" width="12.81640625" bestFit="1" customWidth="1"/>
    <col min="12564" max="12564" width="3.08984375" bestFit="1" customWidth="1"/>
    <col min="12565" max="12565" width="16.08984375" bestFit="1" customWidth="1"/>
    <col min="12566" max="12566" width="11.54296875" bestFit="1" customWidth="1"/>
    <col min="12567" max="12567" width="15.453125" bestFit="1" customWidth="1"/>
    <col min="12568" max="12569" width="17.08984375" bestFit="1" customWidth="1"/>
    <col min="12570" max="12570" width="21.26953125" bestFit="1" customWidth="1"/>
    <col min="12801" max="12801" width="9.81640625" bestFit="1" customWidth="1"/>
    <col min="12802" max="12802" width="10.26953125" bestFit="1" customWidth="1"/>
    <col min="12803" max="12803" width="11.54296875" bestFit="1" customWidth="1"/>
    <col min="12804" max="12804" width="27.7265625" bestFit="1" customWidth="1"/>
    <col min="12805" max="12805" width="20.36328125" bestFit="1" customWidth="1"/>
    <col min="12806" max="12806" width="26.7265625" bestFit="1" customWidth="1"/>
    <col min="12807" max="12807" width="5.36328125" bestFit="1" customWidth="1"/>
    <col min="12808" max="12808" width="8.08984375" bestFit="1" customWidth="1"/>
    <col min="12809" max="12809" width="13.36328125" bestFit="1" customWidth="1"/>
    <col min="12810" max="12810" width="12.7265625" bestFit="1" customWidth="1"/>
    <col min="12811" max="12812" width="10.7265625" bestFit="1" customWidth="1"/>
    <col min="12813" max="12813" width="14.6328125" customWidth="1"/>
    <col min="12814" max="12814" width="34.90625" bestFit="1" customWidth="1"/>
    <col min="12815" max="12815" width="11.81640625" bestFit="1" customWidth="1"/>
    <col min="12816" max="12816" width="14.453125" bestFit="1" customWidth="1"/>
    <col min="12817" max="12817" width="10.26953125" bestFit="1" customWidth="1"/>
    <col min="12818" max="12818" width="11.1796875" bestFit="1" customWidth="1"/>
    <col min="12819" max="12819" width="12.81640625" bestFit="1" customWidth="1"/>
    <col min="12820" max="12820" width="3.08984375" bestFit="1" customWidth="1"/>
    <col min="12821" max="12821" width="16.08984375" bestFit="1" customWidth="1"/>
    <col min="12822" max="12822" width="11.54296875" bestFit="1" customWidth="1"/>
    <col min="12823" max="12823" width="15.453125" bestFit="1" customWidth="1"/>
    <col min="12824" max="12825" width="17.08984375" bestFit="1" customWidth="1"/>
    <col min="12826" max="12826" width="21.26953125" bestFit="1" customWidth="1"/>
    <col min="13057" max="13057" width="9.81640625" bestFit="1" customWidth="1"/>
    <col min="13058" max="13058" width="10.26953125" bestFit="1" customWidth="1"/>
    <col min="13059" max="13059" width="11.54296875" bestFit="1" customWidth="1"/>
    <col min="13060" max="13060" width="27.7265625" bestFit="1" customWidth="1"/>
    <col min="13061" max="13061" width="20.36328125" bestFit="1" customWidth="1"/>
    <col min="13062" max="13062" width="26.7265625" bestFit="1" customWidth="1"/>
    <col min="13063" max="13063" width="5.36328125" bestFit="1" customWidth="1"/>
    <col min="13064" max="13064" width="8.08984375" bestFit="1" customWidth="1"/>
    <col min="13065" max="13065" width="13.36328125" bestFit="1" customWidth="1"/>
    <col min="13066" max="13066" width="12.7265625" bestFit="1" customWidth="1"/>
    <col min="13067" max="13068" width="10.7265625" bestFit="1" customWidth="1"/>
    <col min="13069" max="13069" width="14.6328125" customWidth="1"/>
    <col min="13070" max="13070" width="34.90625" bestFit="1" customWidth="1"/>
    <col min="13071" max="13071" width="11.81640625" bestFit="1" customWidth="1"/>
    <col min="13072" max="13072" width="14.453125" bestFit="1" customWidth="1"/>
    <col min="13073" max="13073" width="10.26953125" bestFit="1" customWidth="1"/>
    <col min="13074" max="13074" width="11.1796875" bestFit="1" customWidth="1"/>
    <col min="13075" max="13075" width="12.81640625" bestFit="1" customWidth="1"/>
    <col min="13076" max="13076" width="3.08984375" bestFit="1" customWidth="1"/>
    <col min="13077" max="13077" width="16.08984375" bestFit="1" customWidth="1"/>
    <col min="13078" max="13078" width="11.54296875" bestFit="1" customWidth="1"/>
    <col min="13079" max="13079" width="15.453125" bestFit="1" customWidth="1"/>
    <col min="13080" max="13081" width="17.08984375" bestFit="1" customWidth="1"/>
    <col min="13082" max="13082" width="21.26953125" bestFit="1" customWidth="1"/>
    <col min="13313" max="13313" width="9.81640625" bestFit="1" customWidth="1"/>
    <col min="13314" max="13314" width="10.26953125" bestFit="1" customWidth="1"/>
    <col min="13315" max="13315" width="11.54296875" bestFit="1" customWidth="1"/>
    <col min="13316" max="13316" width="27.7265625" bestFit="1" customWidth="1"/>
    <col min="13317" max="13317" width="20.36328125" bestFit="1" customWidth="1"/>
    <col min="13318" max="13318" width="26.7265625" bestFit="1" customWidth="1"/>
    <col min="13319" max="13319" width="5.36328125" bestFit="1" customWidth="1"/>
    <col min="13320" max="13320" width="8.08984375" bestFit="1" customWidth="1"/>
    <col min="13321" max="13321" width="13.36328125" bestFit="1" customWidth="1"/>
    <col min="13322" max="13322" width="12.7265625" bestFit="1" customWidth="1"/>
    <col min="13323" max="13324" width="10.7265625" bestFit="1" customWidth="1"/>
    <col min="13325" max="13325" width="14.6328125" customWidth="1"/>
    <col min="13326" max="13326" width="34.90625" bestFit="1" customWidth="1"/>
    <col min="13327" max="13327" width="11.81640625" bestFit="1" customWidth="1"/>
    <col min="13328" max="13328" width="14.453125" bestFit="1" customWidth="1"/>
    <col min="13329" max="13329" width="10.26953125" bestFit="1" customWidth="1"/>
    <col min="13330" max="13330" width="11.1796875" bestFit="1" customWidth="1"/>
    <col min="13331" max="13331" width="12.81640625" bestFit="1" customWidth="1"/>
    <col min="13332" max="13332" width="3.08984375" bestFit="1" customWidth="1"/>
    <col min="13333" max="13333" width="16.08984375" bestFit="1" customWidth="1"/>
    <col min="13334" max="13334" width="11.54296875" bestFit="1" customWidth="1"/>
    <col min="13335" max="13335" width="15.453125" bestFit="1" customWidth="1"/>
    <col min="13336" max="13337" width="17.08984375" bestFit="1" customWidth="1"/>
    <col min="13338" max="13338" width="21.26953125" bestFit="1" customWidth="1"/>
    <col min="13569" max="13569" width="9.81640625" bestFit="1" customWidth="1"/>
    <col min="13570" max="13570" width="10.26953125" bestFit="1" customWidth="1"/>
    <col min="13571" max="13571" width="11.54296875" bestFit="1" customWidth="1"/>
    <col min="13572" max="13572" width="27.7265625" bestFit="1" customWidth="1"/>
    <col min="13573" max="13573" width="20.36328125" bestFit="1" customWidth="1"/>
    <col min="13574" max="13574" width="26.7265625" bestFit="1" customWidth="1"/>
    <col min="13575" max="13575" width="5.36328125" bestFit="1" customWidth="1"/>
    <col min="13576" max="13576" width="8.08984375" bestFit="1" customWidth="1"/>
    <col min="13577" max="13577" width="13.36328125" bestFit="1" customWidth="1"/>
    <col min="13578" max="13578" width="12.7265625" bestFit="1" customWidth="1"/>
    <col min="13579" max="13580" width="10.7265625" bestFit="1" customWidth="1"/>
    <col min="13581" max="13581" width="14.6328125" customWidth="1"/>
    <col min="13582" max="13582" width="34.90625" bestFit="1" customWidth="1"/>
    <col min="13583" max="13583" width="11.81640625" bestFit="1" customWidth="1"/>
    <col min="13584" max="13584" width="14.453125" bestFit="1" customWidth="1"/>
    <col min="13585" max="13585" width="10.26953125" bestFit="1" customWidth="1"/>
    <col min="13586" max="13586" width="11.1796875" bestFit="1" customWidth="1"/>
    <col min="13587" max="13587" width="12.81640625" bestFit="1" customWidth="1"/>
    <col min="13588" max="13588" width="3.08984375" bestFit="1" customWidth="1"/>
    <col min="13589" max="13589" width="16.08984375" bestFit="1" customWidth="1"/>
    <col min="13590" max="13590" width="11.54296875" bestFit="1" customWidth="1"/>
    <col min="13591" max="13591" width="15.453125" bestFit="1" customWidth="1"/>
    <col min="13592" max="13593" width="17.08984375" bestFit="1" customWidth="1"/>
    <col min="13594" max="13594" width="21.26953125" bestFit="1" customWidth="1"/>
    <col min="13825" max="13825" width="9.81640625" bestFit="1" customWidth="1"/>
    <col min="13826" max="13826" width="10.26953125" bestFit="1" customWidth="1"/>
    <col min="13827" max="13827" width="11.54296875" bestFit="1" customWidth="1"/>
    <col min="13828" max="13828" width="27.7265625" bestFit="1" customWidth="1"/>
    <col min="13829" max="13829" width="20.36328125" bestFit="1" customWidth="1"/>
    <col min="13830" max="13830" width="26.7265625" bestFit="1" customWidth="1"/>
    <col min="13831" max="13831" width="5.36328125" bestFit="1" customWidth="1"/>
    <col min="13832" max="13832" width="8.08984375" bestFit="1" customWidth="1"/>
    <col min="13833" max="13833" width="13.36328125" bestFit="1" customWidth="1"/>
    <col min="13834" max="13834" width="12.7265625" bestFit="1" customWidth="1"/>
    <col min="13835" max="13836" width="10.7265625" bestFit="1" customWidth="1"/>
    <col min="13837" max="13837" width="14.6328125" customWidth="1"/>
    <col min="13838" max="13838" width="34.90625" bestFit="1" customWidth="1"/>
    <col min="13839" max="13839" width="11.81640625" bestFit="1" customWidth="1"/>
    <col min="13840" max="13840" width="14.453125" bestFit="1" customWidth="1"/>
    <col min="13841" max="13841" width="10.26953125" bestFit="1" customWidth="1"/>
    <col min="13842" max="13842" width="11.1796875" bestFit="1" customWidth="1"/>
    <col min="13843" max="13843" width="12.81640625" bestFit="1" customWidth="1"/>
    <col min="13844" max="13844" width="3.08984375" bestFit="1" customWidth="1"/>
    <col min="13845" max="13845" width="16.08984375" bestFit="1" customWidth="1"/>
    <col min="13846" max="13846" width="11.54296875" bestFit="1" customWidth="1"/>
    <col min="13847" max="13847" width="15.453125" bestFit="1" customWidth="1"/>
    <col min="13848" max="13849" width="17.08984375" bestFit="1" customWidth="1"/>
    <col min="13850" max="13850" width="21.26953125" bestFit="1" customWidth="1"/>
    <col min="14081" max="14081" width="9.81640625" bestFit="1" customWidth="1"/>
    <col min="14082" max="14082" width="10.26953125" bestFit="1" customWidth="1"/>
    <col min="14083" max="14083" width="11.54296875" bestFit="1" customWidth="1"/>
    <col min="14084" max="14084" width="27.7265625" bestFit="1" customWidth="1"/>
    <col min="14085" max="14085" width="20.36328125" bestFit="1" customWidth="1"/>
    <col min="14086" max="14086" width="26.7265625" bestFit="1" customWidth="1"/>
    <col min="14087" max="14087" width="5.36328125" bestFit="1" customWidth="1"/>
    <col min="14088" max="14088" width="8.08984375" bestFit="1" customWidth="1"/>
    <col min="14089" max="14089" width="13.36328125" bestFit="1" customWidth="1"/>
    <col min="14090" max="14090" width="12.7265625" bestFit="1" customWidth="1"/>
    <col min="14091" max="14092" width="10.7265625" bestFit="1" customWidth="1"/>
    <col min="14093" max="14093" width="14.6328125" customWidth="1"/>
    <col min="14094" max="14094" width="34.90625" bestFit="1" customWidth="1"/>
    <col min="14095" max="14095" width="11.81640625" bestFit="1" customWidth="1"/>
    <col min="14096" max="14096" width="14.453125" bestFit="1" customWidth="1"/>
    <col min="14097" max="14097" width="10.26953125" bestFit="1" customWidth="1"/>
    <col min="14098" max="14098" width="11.1796875" bestFit="1" customWidth="1"/>
    <col min="14099" max="14099" width="12.81640625" bestFit="1" customWidth="1"/>
    <col min="14100" max="14100" width="3.08984375" bestFit="1" customWidth="1"/>
    <col min="14101" max="14101" width="16.08984375" bestFit="1" customWidth="1"/>
    <col min="14102" max="14102" width="11.54296875" bestFit="1" customWidth="1"/>
    <col min="14103" max="14103" width="15.453125" bestFit="1" customWidth="1"/>
    <col min="14104" max="14105" width="17.08984375" bestFit="1" customWidth="1"/>
    <col min="14106" max="14106" width="21.26953125" bestFit="1" customWidth="1"/>
    <col min="14337" max="14337" width="9.81640625" bestFit="1" customWidth="1"/>
    <col min="14338" max="14338" width="10.26953125" bestFit="1" customWidth="1"/>
    <col min="14339" max="14339" width="11.54296875" bestFit="1" customWidth="1"/>
    <col min="14340" max="14340" width="27.7265625" bestFit="1" customWidth="1"/>
    <col min="14341" max="14341" width="20.36328125" bestFit="1" customWidth="1"/>
    <col min="14342" max="14342" width="26.7265625" bestFit="1" customWidth="1"/>
    <col min="14343" max="14343" width="5.36328125" bestFit="1" customWidth="1"/>
    <col min="14344" max="14344" width="8.08984375" bestFit="1" customWidth="1"/>
    <col min="14345" max="14345" width="13.36328125" bestFit="1" customWidth="1"/>
    <col min="14346" max="14346" width="12.7265625" bestFit="1" customWidth="1"/>
    <col min="14347" max="14348" width="10.7265625" bestFit="1" customWidth="1"/>
    <col min="14349" max="14349" width="14.6328125" customWidth="1"/>
    <col min="14350" max="14350" width="34.90625" bestFit="1" customWidth="1"/>
    <col min="14351" max="14351" width="11.81640625" bestFit="1" customWidth="1"/>
    <col min="14352" max="14352" width="14.453125" bestFit="1" customWidth="1"/>
    <col min="14353" max="14353" width="10.26953125" bestFit="1" customWidth="1"/>
    <col min="14354" max="14354" width="11.1796875" bestFit="1" customWidth="1"/>
    <col min="14355" max="14355" width="12.81640625" bestFit="1" customWidth="1"/>
    <col min="14356" max="14356" width="3.08984375" bestFit="1" customWidth="1"/>
    <col min="14357" max="14357" width="16.08984375" bestFit="1" customWidth="1"/>
    <col min="14358" max="14358" width="11.54296875" bestFit="1" customWidth="1"/>
    <col min="14359" max="14359" width="15.453125" bestFit="1" customWidth="1"/>
    <col min="14360" max="14361" width="17.08984375" bestFit="1" customWidth="1"/>
    <col min="14362" max="14362" width="21.26953125" bestFit="1" customWidth="1"/>
    <col min="14593" max="14593" width="9.81640625" bestFit="1" customWidth="1"/>
    <col min="14594" max="14594" width="10.26953125" bestFit="1" customWidth="1"/>
    <col min="14595" max="14595" width="11.54296875" bestFit="1" customWidth="1"/>
    <col min="14596" max="14596" width="27.7265625" bestFit="1" customWidth="1"/>
    <col min="14597" max="14597" width="20.36328125" bestFit="1" customWidth="1"/>
    <col min="14598" max="14598" width="26.7265625" bestFit="1" customWidth="1"/>
    <col min="14599" max="14599" width="5.36328125" bestFit="1" customWidth="1"/>
    <col min="14600" max="14600" width="8.08984375" bestFit="1" customWidth="1"/>
    <col min="14601" max="14601" width="13.36328125" bestFit="1" customWidth="1"/>
    <col min="14602" max="14602" width="12.7265625" bestFit="1" customWidth="1"/>
    <col min="14603" max="14604" width="10.7265625" bestFit="1" customWidth="1"/>
    <col min="14605" max="14605" width="14.6328125" customWidth="1"/>
    <col min="14606" max="14606" width="34.90625" bestFit="1" customWidth="1"/>
    <col min="14607" max="14607" width="11.81640625" bestFit="1" customWidth="1"/>
    <col min="14608" max="14608" width="14.453125" bestFit="1" customWidth="1"/>
    <col min="14609" max="14609" width="10.26953125" bestFit="1" customWidth="1"/>
    <col min="14610" max="14610" width="11.1796875" bestFit="1" customWidth="1"/>
    <col min="14611" max="14611" width="12.81640625" bestFit="1" customWidth="1"/>
    <col min="14612" max="14612" width="3.08984375" bestFit="1" customWidth="1"/>
    <col min="14613" max="14613" width="16.08984375" bestFit="1" customWidth="1"/>
    <col min="14614" max="14614" width="11.54296875" bestFit="1" customWidth="1"/>
    <col min="14615" max="14615" width="15.453125" bestFit="1" customWidth="1"/>
    <col min="14616" max="14617" width="17.08984375" bestFit="1" customWidth="1"/>
    <col min="14618" max="14618" width="21.26953125" bestFit="1" customWidth="1"/>
    <col min="14849" max="14849" width="9.81640625" bestFit="1" customWidth="1"/>
    <col min="14850" max="14850" width="10.26953125" bestFit="1" customWidth="1"/>
    <col min="14851" max="14851" width="11.54296875" bestFit="1" customWidth="1"/>
    <col min="14852" max="14852" width="27.7265625" bestFit="1" customWidth="1"/>
    <col min="14853" max="14853" width="20.36328125" bestFit="1" customWidth="1"/>
    <col min="14854" max="14854" width="26.7265625" bestFit="1" customWidth="1"/>
    <col min="14855" max="14855" width="5.36328125" bestFit="1" customWidth="1"/>
    <col min="14856" max="14856" width="8.08984375" bestFit="1" customWidth="1"/>
    <col min="14857" max="14857" width="13.36328125" bestFit="1" customWidth="1"/>
    <col min="14858" max="14858" width="12.7265625" bestFit="1" customWidth="1"/>
    <col min="14859" max="14860" width="10.7265625" bestFit="1" customWidth="1"/>
    <col min="14861" max="14861" width="14.6328125" customWidth="1"/>
    <col min="14862" max="14862" width="34.90625" bestFit="1" customWidth="1"/>
    <col min="14863" max="14863" width="11.81640625" bestFit="1" customWidth="1"/>
    <col min="14864" max="14864" width="14.453125" bestFit="1" customWidth="1"/>
    <col min="14865" max="14865" width="10.26953125" bestFit="1" customWidth="1"/>
    <col min="14866" max="14866" width="11.1796875" bestFit="1" customWidth="1"/>
    <col min="14867" max="14867" width="12.81640625" bestFit="1" customWidth="1"/>
    <col min="14868" max="14868" width="3.08984375" bestFit="1" customWidth="1"/>
    <col min="14869" max="14869" width="16.08984375" bestFit="1" customWidth="1"/>
    <col min="14870" max="14870" width="11.54296875" bestFit="1" customWidth="1"/>
    <col min="14871" max="14871" width="15.453125" bestFit="1" customWidth="1"/>
    <col min="14872" max="14873" width="17.08984375" bestFit="1" customWidth="1"/>
    <col min="14874" max="14874" width="21.26953125" bestFit="1" customWidth="1"/>
    <col min="15105" max="15105" width="9.81640625" bestFit="1" customWidth="1"/>
    <col min="15106" max="15106" width="10.26953125" bestFit="1" customWidth="1"/>
    <col min="15107" max="15107" width="11.54296875" bestFit="1" customWidth="1"/>
    <col min="15108" max="15108" width="27.7265625" bestFit="1" customWidth="1"/>
    <col min="15109" max="15109" width="20.36328125" bestFit="1" customWidth="1"/>
    <col min="15110" max="15110" width="26.7265625" bestFit="1" customWidth="1"/>
    <col min="15111" max="15111" width="5.36328125" bestFit="1" customWidth="1"/>
    <col min="15112" max="15112" width="8.08984375" bestFit="1" customWidth="1"/>
    <col min="15113" max="15113" width="13.36328125" bestFit="1" customWidth="1"/>
    <col min="15114" max="15114" width="12.7265625" bestFit="1" customWidth="1"/>
    <col min="15115" max="15116" width="10.7265625" bestFit="1" customWidth="1"/>
    <col min="15117" max="15117" width="14.6328125" customWidth="1"/>
    <col min="15118" max="15118" width="34.90625" bestFit="1" customWidth="1"/>
    <col min="15119" max="15119" width="11.81640625" bestFit="1" customWidth="1"/>
    <col min="15120" max="15120" width="14.453125" bestFit="1" customWidth="1"/>
    <col min="15121" max="15121" width="10.26953125" bestFit="1" customWidth="1"/>
    <col min="15122" max="15122" width="11.1796875" bestFit="1" customWidth="1"/>
    <col min="15123" max="15123" width="12.81640625" bestFit="1" customWidth="1"/>
    <col min="15124" max="15124" width="3.08984375" bestFit="1" customWidth="1"/>
    <col min="15125" max="15125" width="16.08984375" bestFit="1" customWidth="1"/>
    <col min="15126" max="15126" width="11.54296875" bestFit="1" customWidth="1"/>
    <col min="15127" max="15127" width="15.453125" bestFit="1" customWidth="1"/>
    <col min="15128" max="15129" width="17.08984375" bestFit="1" customWidth="1"/>
    <col min="15130" max="15130" width="21.26953125" bestFit="1" customWidth="1"/>
    <col min="15361" max="15361" width="9.81640625" bestFit="1" customWidth="1"/>
    <col min="15362" max="15362" width="10.26953125" bestFit="1" customWidth="1"/>
    <col min="15363" max="15363" width="11.54296875" bestFit="1" customWidth="1"/>
    <col min="15364" max="15364" width="27.7265625" bestFit="1" customWidth="1"/>
    <col min="15365" max="15365" width="20.36328125" bestFit="1" customWidth="1"/>
    <col min="15366" max="15366" width="26.7265625" bestFit="1" customWidth="1"/>
    <col min="15367" max="15367" width="5.36328125" bestFit="1" customWidth="1"/>
    <col min="15368" max="15368" width="8.08984375" bestFit="1" customWidth="1"/>
    <col min="15369" max="15369" width="13.36328125" bestFit="1" customWidth="1"/>
    <col min="15370" max="15370" width="12.7265625" bestFit="1" customWidth="1"/>
    <col min="15371" max="15372" width="10.7265625" bestFit="1" customWidth="1"/>
    <col min="15373" max="15373" width="14.6328125" customWidth="1"/>
    <col min="15374" max="15374" width="34.90625" bestFit="1" customWidth="1"/>
    <col min="15375" max="15375" width="11.81640625" bestFit="1" customWidth="1"/>
    <col min="15376" max="15376" width="14.453125" bestFit="1" customWidth="1"/>
    <col min="15377" max="15377" width="10.26953125" bestFit="1" customWidth="1"/>
    <col min="15378" max="15378" width="11.1796875" bestFit="1" customWidth="1"/>
    <col min="15379" max="15379" width="12.81640625" bestFit="1" customWidth="1"/>
    <col min="15380" max="15380" width="3.08984375" bestFit="1" customWidth="1"/>
    <col min="15381" max="15381" width="16.08984375" bestFit="1" customWidth="1"/>
    <col min="15382" max="15382" width="11.54296875" bestFit="1" customWidth="1"/>
    <col min="15383" max="15383" width="15.453125" bestFit="1" customWidth="1"/>
    <col min="15384" max="15385" width="17.08984375" bestFit="1" customWidth="1"/>
    <col min="15386" max="15386" width="21.26953125" bestFit="1" customWidth="1"/>
    <col min="15617" max="15617" width="9.81640625" bestFit="1" customWidth="1"/>
    <col min="15618" max="15618" width="10.26953125" bestFit="1" customWidth="1"/>
    <col min="15619" max="15619" width="11.54296875" bestFit="1" customWidth="1"/>
    <col min="15620" max="15620" width="27.7265625" bestFit="1" customWidth="1"/>
    <col min="15621" max="15621" width="20.36328125" bestFit="1" customWidth="1"/>
    <col min="15622" max="15622" width="26.7265625" bestFit="1" customWidth="1"/>
    <col min="15623" max="15623" width="5.36328125" bestFit="1" customWidth="1"/>
    <col min="15624" max="15624" width="8.08984375" bestFit="1" customWidth="1"/>
    <col min="15625" max="15625" width="13.36328125" bestFit="1" customWidth="1"/>
    <col min="15626" max="15626" width="12.7265625" bestFit="1" customWidth="1"/>
    <col min="15627" max="15628" width="10.7265625" bestFit="1" customWidth="1"/>
    <col min="15629" max="15629" width="14.6328125" customWidth="1"/>
    <col min="15630" max="15630" width="34.90625" bestFit="1" customWidth="1"/>
    <col min="15631" max="15631" width="11.81640625" bestFit="1" customWidth="1"/>
    <col min="15632" max="15632" width="14.453125" bestFit="1" customWidth="1"/>
    <col min="15633" max="15633" width="10.26953125" bestFit="1" customWidth="1"/>
    <col min="15634" max="15634" width="11.1796875" bestFit="1" customWidth="1"/>
    <col min="15635" max="15635" width="12.81640625" bestFit="1" customWidth="1"/>
    <col min="15636" max="15636" width="3.08984375" bestFit="1" customWidth="1"/>
    <col min="15637" max="15637" width="16.08984375" bestFit="1" customWidth="1"/>
    <col min="15638" max="15638" width="11.54296875" bestFit="1" customWidth="1"/>
    <col min="15639" max="15639" width="15.453125" bestFit="1" customWidth="1"/>
    <col min="15640" max="15641" width="17.08984375" bestFit="1" customWidth="1"/>
    <col min="15642" max="15642" width="21.26953125" bestFit="1" customWidth="1"/>
    <col min="15873" max="15873" width="9.81640625" bestFit="1" customWidth="1"/>
    <col min="15874" max="15874" width="10.26953125" bestFit="1" customWidth="1"/>
    <col min="15875" max="15875" width="11.54296875" bestFit="1" customWidth="1"/>
    <col min="15876" max="15876" width="27.7265625" bestFit="1" customWidth="1"/>
    <col min="15877" max="15877" width="20.36328125" bestFit="1" customWidth="1"/>
    <col min="15878" max="15878" width="26.7265625" bestFit="1" customWidth="1"/>
    <col min="15879" max="15879" width="5.36328125" bestFit="1" customWidth="1"/>
    <col min="15880" max="15880" width="8.08984375" bestFit="1" customWidth="1"/>
    <col min="15881" max="15881" width="13.36328125" bestFit="1" customWidth="1"/>
    <col min="15882" max="15882" width="12.7265625" bestFit="1" customWidth="1"/>
    <col min="15883" max="15884" width="10.7265625" bestFit="1" customWidth="1"/>
    <col min="15885" max="15885" width="14.6328125" customWidth="1"/>
    <col min="15886" max="15886" width="34.90625" bestFit="1" customWidth="1"/>
    <col min="15887" max="15887" width="11.81640625" bestFit="1" customWidth="1"/>
    <col min="15888" max="15888" width="14.453125" bestFit="1" customWidth="1"/>
    <col min="15889" max="15889" width="10.26953125" bestFit="1" customWidth="1"/>
    <col min="15890" max="15890" width="11.1796875" bestFit="1" customWidth="1"/>
    <col min="15891" max="15891" width="12.81640625" bestFit="1" customWidth="1"/>
    <col min="15892" max="15892" width="3.08984375" bestFit="1" customWidth="1"/>
    <col min="15893" max="15893" width="16.08984375" bestFit="1" customWidth="1"/>
    <col min="15894" max="15894" width="11.54296875" bestFit="1" customWidth="1"/>
    <col min="15895" max="15895" width="15.453125" bestFit="1" customWidth="1"/>
    <col min="15896" max="15897" width="17.08984375" bestFit="1" customWidth="1"/>
    <col min="15898" max="15898" width="21.26953125" bestFit="1" customWidth="1"/>
    <col min="16129" max="16129" width="9.81640625" bestFit="1" customWidth="1"/>
    <col min="16130" max="16130" width="10.26953125" bestFit="1" customWidth="1"/>
    <col min="16131" max="16131" width="11.54296875" bestFit="1" customWidth="1"/>
    <col min="16132" max="16132" width="27.7265625" bestFit="1" customWidth="1"/>
    <col min="16133" max="16133" width="20.36328125" bestFit="1" customWidth="1"/>
    <col min="16134" max="16134" width="26.7265625" bestFit="1" customWidth="1"/>
    <col min="16135" max="16135" width="5.36328125" bestFit="1" customWidth="1"/>
    <col min="16136" max="16136" width="8.08984375" bestFit="1" customWidth="1"/>
    <col min="16137" max="16137" width="13.36328125" bestFit="1" customWidth="1"/>
    <col min="16138" max="16138" width="12.7265625" bestFit="1" customWidth="1"/>
    <col min="16139" max="16140" width="10.7265625" bestFit="1" customWidth="1"/>
    <col min="16141" max="16141" width="14.6328125" customWidth="1"/>
    <col min="16142" max="16142" width="34.90625" bestFit="1" customWidth="1"/>
    <col min="16143" max="16143" width="11.81640625" bestFit="1" customWidth="1"/>
    <col min="16144" max="16144" width="14.453125" bestFit="1" customWidth="1"/>
    <col min="16145" max="16145" width="10.26953125" bestFit="1" customWidth="1"/>
    <col min="16146" max="16146" width="11.1796875" bestFit="1" customWidth="1"/>
    <col min="16147" max="16147" width="12.81640625" bestFit="1" customWidth="1"/>
    <col min="16148" max="16148" width="3.08984375" bestFit="1" customWidth="1"/>
    <col min="16149" max="16149" width="16.08984375" bestFit="1" customWidth="1"/>
    <col min="16150" max="16150" width="11.54296875" bestFit="1" customWidth="1"/>
    <col min="16151" max="16151" width="15.453125" bestFit="1" customWidth="1"/>
    <col min="16152" max="16153" width="17.08984375" bestFit="1" customWidth="1"/>
    <col min="16154" max="16154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50</v>
      </c>
      <c r="D4" s="7" t="s">
        <v>51</v>
      </c>
      <c r="E4" s="7" t="s">
        <v>38</v>
      </c>
      <c r="F4" s="7" t="s">
        <v>52</v>
      </c>
      <c r="G4" s="7">
        <v>2017</v>
      </c>
      <c r="H4" s="7" t="str">
        <f>CONCATENATE("14270339493")</f>
        <v>14270339493</v>
      </c>
      <c r="I4" s="7" t="s">
        <v>30</v>
      </c>
      <c r="J4" s="7" t="s">
        <v>31</v>
      </c>
      <c r="K4" s="7" t="str">
        <f>CONCATENATE("")</f>
        <v/>
      </c>
      <c r="L4" s="7" t="str">
        <f>CONCATENATE("16 16.1 2a")</f>
        <v>16 16.1 2a</v>
      </c>
      <c r="M4" s="7" t="str">
        <f>CONCATENATE("00283690428")</f>
        <v>00283690428</v>
      </c>
      <c r="N4" s="7" t="s">
        <v>53</v>
      </c>
      <c r="O4" s="7" t="s">
        <v>54</v>
      </c>
      <c r="P4" s="8">
        <v>44537</v>
      </c>
      <c r="Q4" s="7" t="s">
        <v>32</v>
      </c>
      <c r="R4" s="7" t="s">
        <v>47</v>
      </c>
      <c r="S4" s="7" t="s">
        <v>34</v>
      </c>
      <c r="T4" s="7"/>
      <c r="U4" s="7" t="s">
        <v>35</v>
      </c>
      <c r="V4" s="9">
        <v>199626.32</v>
      </c>
      <c r="W4" s="9">
        <v>86078.87</v>
      </c>
      <c r="X4" s="9">
        <v>79491.199999999997</v>
      </c>
      <c r="Y4" s="7">
        <v>0</v>
      </c>
      <c r="Z4" s="9">
        <v>34056.25</v>
      </c>
    </row>
    <row r="5" spans="1:26" x14ac:dyDescent="0.35">
      <c r="A5" s="7" t="s">
        <v>27</v>
      </c>
      <c r="B5" s="7" t="s">
        <v>28</v>
      </c>
      <c r="C5" s="7" t="s">
        <v>50</v>
      </c>
      <c r="D5" s="7" t="s">
        <v>55</v>
      </c>
      <c r="E5" s="7" t="s">
        <v>29</v>
      </c>
      <c r="F5" s="7" t="s">
        <v>56</v>
      </c>
      <c r="G5" s="7">
        <v>2017</v>
      </c>
      <c r="H5" s="7" t="str">
        <f>CONCATENATE("14270312565")</f>
        <v>14270312565</v>
      </c>
      <c r="I5" s="7" t="s">
        <v>30</v>
      </c>
      <c r="J5" s="7" t="s">
        <v>31</v>
      </c>
      <c r="K5" s="7" t="str">
        <f>CONCATENATE("")</f>
        <v/>
      </c>
      <c r="L5" s="7" t="str">
        <f>CONCATENATE("4 4.1 2a")</f>
        <v>4 4.1 2a</v>
      </c>
      <c r="M5" s="7" t="str">
        <f>CONCATENATE("LCRRRT66C05B846G")</f>
        <v>LCRRRT66C05B846G</v>
      </c>
      <c r="N5" s="7" t="s">
        <v>57</v>
      </c>
      <c r="O5" s="7" t="s">
        <v>58</v>
      </c>
      <c r="P5" s="8">
        <v>44518</v>
      </c>
      <c r="Q5" s="7" t="s">
        <v>32</v>
      </c>
      <c r="R5" s="7" t="s">
        <v>33</v>
      </c>
      <c r="S5" s="7" t="s">
        <v>34</v>
      </c>
      <c r="T5" s="7"/>
      <c r="U5" s="7" t="s">
        <v>35</v>
      </c>
      <c r="V5" s="9">
        <v>72418.600000000006</v>
      </c>
      <c r="W5" s="9">
        <v>31226.9</v>
      </c>
      <c r="X5" s="9">
        <v>28837.09</v>
      </c>
      <c r="Y5" s="7">
        <v>0</v>
      </c>
      <c r="Z5" s="9">
        <v>12354.61</v>
      </c>
    </row>
    <row r="6" spans="1:26" x14ac:dyDescent="0.35">
      <c r="A6" s="7" t="s">
        <v>27</v>
      </c>
      <c r="B6" s="7" t="s">
        <v>28</v>
      </c>
      <c r="C6" s="7" t="s">
        <v>50</v>
      </c>
      <c r="D6" s="7" t="s">
        <v>59</v>
      </c>
      <c r="E6" s="7" t="s">
        <v>29</v>
      </c>
      <c r="F6" s="7" t="s">
        <v>60</v>
      </c>
      <c r="G6" s="7">
        <v>2017</v>
      </c>
      <c r="H6" s="7" t="str">
        <f>CONCATENATE("14270312508")</f>
        <v>14270312508</v>
      </c>
      <c r="I6" s="7" t="s">
        <v>30</v>
      </c>
      <c r="J6" s="7" t="s">
        <v>31</v>
      </c>
      <c r="K6" s="7" t="str">
        <f>CONCATENATE("")</f>
        <v/>
      </c>
      <c r="L6" s="7" t="str">
        <f>CONCATENATE("4 4.1 2a")</f>
        <v>4 4.1 2a</v>
      </c>
      <c r="M6" s="7" t="str">
        <f>CONCATENATE("VLNVRN78A50D542K")</f>
        <v>VLNVRN78A50D542K</v>
      </c>
      <c r="N6" s="7" t="s">
        <v>61</v>
      </c>
      <c r="O6" s="7" t="s">
        <v>62</v>
      </c>
      <c r="P6" s="8">
        <v>44515</v>
      </c>
      <c r="Q6" s="7" t="s">
        <v>32</v>
      </c>
      <c r="R6" s="7" t="s">
        <v>33</v>
      </c>
      <c r="S6" s="7" t="s">
        <v>34</v>
      </c>
      <c r="T6" s="7"/>
      <c r="U6" s="7" t="s">
        <v>35</v>
      </c>
      <c r="V6" s="9">
        <v>15997.31</v>
      </c>
      <c r="W6" s="9">
        <v>6898.04</v>
      </c>
      <c r="X6" s="9">
        <v>6370.13</v>
      </c>
      <c r="Y6" s="7">
        <v>0</v>
      </c>
      <c r="Z6" s="9">
        <v>2729.14</v>
      </c>
    </row>
    <row r="7" spans="1:26" x14ac:dyDescent="0.35">
      <c r="A7" s="7" t="s">
        <v>27</v>
      </c>
      <c r="B7" s="7" t="s">
        <v>28</v>
      </c>
      <c r="C7" s="7" t="s">
        <v>50</v>
      </c>
      <c r="D7" s="7" t="s">
        <v>51</v>
      </c>
      <c r="E7" s="7" t="s">
        <v>42</v>
      </c>
      <c r="F7" s="7" t="s">
        <v>42</v>
      </c>
      <c r="G7" s="7">
        <v>2017</v>
      </c>
      <c r="H7" s="7" t="str">
        <f>CONCATENATE("14270284194")</f>
        <v>14270284194</v>
      </c>
      <c r="I7" s="7" t="s">
        <v>30</v>
      </c>
      <c r="J7" s="7" t="s">
        <v>31</v>
      </c>
      <c r="K7" s="7" t="str">
        <f>CONCATENATE("")</f>
        <v/>
      </c>
      <c r="L7" s="7" t="str">
        <f>CONCATENATE("8 8.1 5e")</f>
        <v>8 8.1 5e</v>
      </c>
      <c r="M7" s="7" t="str">
        <f>CONCATENATE("TTTGNN61H01I461M")</f>
        <v>TTTGNN61H01I461M</v>
      </c>
      <c r="N7" s="7" t="s">
        <v>63</v>
      </c>
      <c r="O7" s="7" t="s">
        <v>64</v>
      </c>
      <c r="P7" s="8">
        <v>44490</v>
      </c>
      <c r="Q7" s="7" t="s">
        <v>32</v>
      </c>
      <c r="R7" s="7" t="s">
        <v>33</v>
      </c>
      <c r="S7" s="7" t="s">
        <v>34</v>
      </c>
      <c r="T7" s="7"/>
      <c r="U7" s="7" t="s">
        <v>35</v>
      </c>
      <c r="V7" s="9">
        <v>7626.19</v>
      </c>
      <c r="W7" s="9">
        <v>3288.41</v>
      </c>
      <c r="X7" s="9">
        <v>3036.75</v>
      </c>
      <c r="Y7" s="7">
        <v>0</v>
      </c>
      <c r="Z7" s="9">
        <v>1301.03</v>
      </c>
    </row>
    <row r="8" spans="1:26" x14ac:dyDescent="0.35">
      <c r="A8" s="7" t="s">
        <v>27</v>
      </c>
      <c r="B8" s="7" t="s">
        <v>28</v>
      </c>
      <c r="C8" s="7" t="s">
        <v>50</v>
      </c>
      <c r="D8" s="7" t="s">
        <v>50</v>
      </c>
      <c r="E8" s="7" t="s">
        <v>42</v>
      </c>
      <c r="F8" s="7" t="s">
        <v>42</v>
      </c>
      <c r="G8" s="7">
        <v>2017</v>
      </c>
      <c r="H8" s="7" t="str">
        <f>CONCATENATE("14270287304")</f>
        <v>14270287304</v>
      </c>
      <c r="I8" s="7" t="s">
        <v>30</v>
      </c>
      <c r="J8" s="7" t="s">
        <v>31</v>
      </c>
      <c r="K8" s="7" t="str">
        <f>CONCATENATE("")</f>
        <v/>
      </c>
      <c r="L8" s="7" t="str">
        <f>CONCATENATE("19 19.2 6b")</f>
        <v>19 19.2 6b</v>
      </c>
      <c r="M8" s="7" t="str">
        <f>CONCATENATE("83000110433")</f>
        <v>83000110433</v>
      </c>
      <c r="N8" s="7" t="s">
        <v>65</v>
      </c>
      <c r="O8" s="7" t="s">
        <v>66</v>
      </c>
      <c r="P8" s="8">
        <v>44495</v>
      </c>
      <c r="Q8" s="7" t="s">
        <v>32</v>
      </c>
      <c r="R8" s="7" t="s">
        <v>46</v>
      </c>
      <c r="S8" s="7" t="s">
        <v>34</v>
      </c>
      <c r="T8" s="7"/>
      <c r="U8" s="7" t="s">
        <v>35</v>
      </c>
      <c r="V8" s="9">
        <v>36581.4</v>
      </c>
      <c r="W8" s="9">
        <v>15773.9</v>
      </c>
      <c r="X8" s="9">
        <v>14566.71</v>
      </c>
      <c r="Y8" s="7">
        <v>0</v>
      </c>
      <c r="Z8" s="9">
        <v>6240.79</v>
      </c>
    </row>
    <row r="9" spans="1:26" x14ac:dyDescent="0.35">
      <c r="A9" s="7" t="s">
        <v>27</v>
      </c>
      <c r="B9" s="7" t="s">
        <v>28</v>
      </c>
      <c r="C9" s="7" t="s">
        <v>50</v>
      </c>
      <c r="D9" s="7" t="s">
        <v>55</v>
      </c>
      <c r="E9" s="7" t="s">
        <v>29</v>
      </c>
      <c r="F9" s="7" t="s">
        <v>67</v>
      </c>
      <c r="G9" s="7">
        <v>2017</v>
      </c>
      <c r="H9" s="7" t="str">
        <f>CONCATENATE("14270312185")</f>
        <v>14270312185</v>
      </c>
      <c r="I9" s="7" t="s">
        <v>30</v>
      </c>
      <c r="J9" s="7" t="s">
        <v>31</v>
      </c>
      <c r="K9" s="7" t="str">
        <f>CONCATENATE("")</f>
        <v/>
      </c>
      <c r="L9" s="7" t="str">
        <f>CONCATENATE("21 21.1 2a")</f>
        <v>21 21.1 2a</v>
      </c>
      <c r="M9" s="7" t="str">
        <f>CONCATENATE("CPPRLA43H16L498H")</f>
        <v>CPPRLA43H16L498H</v>
      </c>
      <c r="N9" s="7" t="s">
        <v>68</v>
      </c>
      <c r="O9" s="7" t="s">
        <v>69</v>
      </c>
      <c r="P9" s="8">
        <v>44515</v>
      </c>
      <c r="Q9" s="7" t="s">
        <v>32</v>
      </c>
      <c r="R9" s="7" t="s">
        <v>33</v>
      </c>
      <c r="S9" s="7" t="s">
        <v>34</v>
      </c>
      <c r="T9" s="7"/>
      <c r="U9" s="7" t="s">
        <v>35</v>
      </c>
      <c r="V9" s="9">
        <v>3750.73</v>
      </c>
      <c r="W9" s="9">
        <v>1617.31</v>
      </c>
      <c r="X9" s="9">
        <v>1493.54</v>
      </c>
      <c r="Y9" s="7">
        <v>0</v>
      </c>
      <c r="Z9" s="7">
        <v>639.88</v>
      </c>
    </row>
    <row r="10" spans="1:26" x14ac:dyDescent="0.35">
      <c r="A10" s="7" t="s">
        <v>27</v>
      </c>
      <c r="B10" s="7" t="s">
        <v>28</v>
      </c>
      <c r="C10" s="7" t="s">
        <v>50</v>
      </c>
      <c r="D10" s="7" t="s">
        <v>55</v>
      </c>
      <c r="E10" s="7" t="s">
        <v>38</v>
      </c>
      <c r="F10" s="7" t="s">
        <v>70</v>
      </c>
      <c r="G10" s="7">
        <v>2017</v>
      </c>
      <c r="H10" s="7" t="str">
        <f>CONCATENATE("14270231161")</f>
        <v>14270231161</v>
      </c>
      <c r="I10" s="7" t="s">
        <v>30</v>
      </c>
      <c r="J10" s="7" t="s">
        <v>31</v>
      </c>
      <c r="K10" s="7" t="str">
        <f>CONCATENATE("")</f>
        <v/>
      </c>
      <c r="L10" s="7" t="str">
        <f>CONCATENATE("21 21.1 2a")</f>
        <v>21 21.1 2a</v>
      </c>
      <c r="M10" s="7" t="str">
        <f>CONCATENATE("BDLGLM52L16F453M")</f>
        <v>BDLGLM52L16F453M</v>
      </c>
      <c r="N10" s="7" t="s">
        <v>71</v>
      </c>
      <c r="O10" s="7" t="s">
        <v>72</v>
      </c>
      <c r="P10" s="8">
        <v>44489</v>
      </c>
      <c r="Q10" s="7" t="s">
        <v>32</v>
      </c>
      <c r="R10" s="7" t="s">
        <v>33</v>
      </c>
      <c r="S10" s="7" t="s">
        <v>34</v>
      </c>
      <c r="T10" s="7"/>
      <c r="U10" s="7" t="s">
        <v>35</v>
      </c>
      <c r="V10" s="9">
        <v>7000</v>
      </c>
      <c r="W10" s="9">
        <v>3018.4</v>
      </c>
      <c r="X10" s="9">
        <v>2787.4</v>
      </c>
      <c r="Y10" s="7">
        <v>0</v>
      </c>
      <c r="Z10" s="9">
        <v>1194.2</v>
      </c>
    </row>
    <row r="11" spans="1:26" x14ac:dyDescent="0.35">
      <c r="A11" s="7" t="s">
        <v>27</v>
      </c>
      <c r="B11" s="7" t="s">
        <v>43</v>
      </c>
      <c r="C11" s="7" t="s">
        <v>50</v>
      </c>
      <c r="D11" s="7" t="s">
        <v>55</v>
      </c>
      <c r="E11" s="7" t="s">
        <v>41</v>
      </c>
      <c r="F11" s="7" t="s">
        <v>73</v>
      </c>
      <c r="G11" s="7">
        <v>2020</v>
      </c>
      <c r="H11" s="7" t="str">
        <f>CONCATENATE("04230002737")</f>
        <v>04230002737</v>
      </c>
      <c r="I11" s="7" t="s">
        <v>40</v>
      </c>
      <c r="J11" s="7" t="s">
        <v>31</v>
      </c>
      <c r="K11" s="7" t="str">
        <f>CONCATENATE("")</f>
        <v/>
      </c>
      <c r="L11" s="7" t="str">
        <f>CONCATENATE("8 8.1 5e")</f>
        <v>8 8.1 5e</v>
      </c>
      <c r="M11" s="7" t="str">
        <f>CONCATENATE("02461270411")</f>
        <v>02461270411</v>
      </c>
      <c r="N11" s="7" t="s">
        <v>74</v>
      </c>
      <c r="O11" s="7" t="s">
        <v>75</v>
      </c>
      <c r="P11" s="8">
        <v>44488</v>
      </c>
      <c r="Q11" s="7" t="s">
        <v>32</v>
      </c>
      <c r="R11" s="7" t="s">
        <v>33</v>
      </c>
      <c r="S11" s="7" t="s">
        <v>34</v>
      </c>
      <c r="T11" s="7"/>
      <c r="U11" s="7" t="s">
        <v>35</v>
      </c>
      <c r="V11" s="9">
        <v>3480.43</v>
      </c>
      <c r="W11" s="9">
        <v>1500.76</v>
      </c>
      <c r="X11" s="9">
        <v>1385.91</v>
      </c>
      <c r="Y11" s="7">
        <v>0</v>
      </c>
      <c r="Z11" s="7">
        <v>593.76</v>
      </c>
    </row>
    <row r="12" spans="1:26" ht="17.5" x14ac:dyDescent="0.35">
      <c r="A12" s="7" t="s">
        <v>27</v>
      </c>
      <c r="B12" s="7" t="s">
        <v>28</v>
      </c>
      <c r="C12" s="7" t="s">
        <v>50</v>
      </c>
      <c r="D12" s="7" t="s">
        <v>51</v>
      </c>
      <c r="E12" s="7" t="s">
        <v>42</v>
      </c>
      <c r="F12" s="7" t="s">
        <v>42</v>
      </c>
      <c r="G12" s="7">
        <v>2017</v>
      </c>
      <c r="H12" s="7" t="str">
        <f>CONCATENATE("14270341739")</f>
        <v>14270341739</v>
      </c>
      <c r="I12" s="7" t="s">
        <v>30</v>
      </c>
      <c r="J12" s="7" t="s">
        <v>31</v>
      </c>
      <c r="K12" s="7" t="str">
        <f>CONCATENATE("")</f>
        <v/>
      </c>
      <c r="L12" s="7" t="str">
        <f>CONCATENATE("9 9.1 3a")</f>
        <v>9 9.1 3a</v>
      </c>
      <c r="M12" s="7" t="str">
        <f>CONCATENATE("93018000427")</f>
        <v>93018000427</v>
      </c>
      <c r="N12" s="7" t="s">
        <v>76</v>
      </c>
      <c r="O12" s="7" t="s">
        <v>77</v>
      </c>
      <c r="P12" s="8">
        <v>44544</v>
      </c>
      <c r="Q12" s="7" t="s">
        <v>32</v>
      </c>
      <c r="R12" s="7" t="s">
        <v>47</v>
      </c>
      <c r="S12" s="7" t="s">
        <v>34</v>
      </c>
      <c r="T12" s="7"/>
      <c r="U12" s="7" t="s">
        <v>35</v>
      </c>
      <c r="V12" s="9">
        <v>99000</v>
      </c>
      <c r="W12" s="9">
        <v>42688.800000000003</v>
      </c>
      <c r="X12" s="9">
        <v>39421.800000000003</v>
      </c>
      <c r="Y12" s="7">
        <v>0</v>
      </c>
      <c r="Z12" s="9">
        <v>16889.400000000001</v>
      </c>
    </row>
    <row r="13" spans="1:26" x14ac:dyDescent="0.35">
      <c r="A13" s="7" t="s">
        <v>27</v>
      </c>
      <c r="B13" s="7" t="s">
        <v>28</v>
      </c>
      <c r="C13" s="7" t="s">
        <v>50</v>
      </c>
      <c r="D13" s="7" t="s">
        <v>55</v>
      </c>
      <c r="E13" s="7" t="s">
        <v>38</v>
      </c>
      <c r="F13" s="7" t="s">
        <v>78</v>
      </c>
      <c r="G13" s="7">
        <v>2017</v>
      </c>
      <c r="H13" s="7" t="str">
        <f>CONCATENATE("14270340889")</f>
        <v>14270340889</v>
      </c>
      <c r="I13" s="7" t="s">
        <v>40</v>
      </c>
      <c r="J13" s="7" t="s">
        <v>31</v>
      </c>
      <c r="K13" s="7" t="str">
        <f>CONCATENATE("")</f>
        <v/>
      </c>
      <c r="L13" s="7" t="str">
        <f>CONCATENATE("8 8.1 5e")</f>
        <v>8 8.1 5e</v>
      </c>
      <c r="M13" s="7" t="str">
        <f>CONCATENATE("RVLCLD79T23G453O")</f>
        <v>RVLCLD79T23G453O</v>
      </c>
      <c r="N13" s="7" t="s">
        <v>79</v>
      </c>
      <c r="O13" s="7" t="s">
        <v>80</v>
      </c>
      <c r="P13" s="8">
        <v>44540</v>
      </c>
      <c r="Q13" s="7" t="s">
        <v>32</v>
      </c>
      <c r="R13" s="7" t="s">
        <v>33</v>
      </c>
      <c r="S13" s="7" t="s">
        <v>34</v>
      </c>
      <c r="T13" s="7"/>
      <c r="U13" s="7" t="s">
        <v>35</v>
      </c>
      <c r="V13" s="9">
        <v>8177.84</v>
      </c>
      <c r="W13" s="9">
        <v>3526.28</v>
      </c>
      <c r="X13" s="9">
        <v>3256.42</v>
      </c>
      <c r="Y13" s="7">
        <v>0</v>
      </c>
      <c r="Z13" s="9">
        <v>1395.14</v>
      </c>
    </row>
    <row r="14" spans="1:26" x14ac:dyDescent="0.35">
      <c r="A14" s="7" t="s">
        <v>27</v>
      </c>
      <c r="B14" s="7" t="s">
        <v>28</v>
      </c>
      <c r="C14" s="7" t="s">
        <v>50</v>
      </c>
      <c r="D14" s="7" t="s">
        <v>51</v>
      </c>
      <c r="E14" s="7" t="s">
        <v>42</v>
      </c>
      <c r="F14" s="7" t="s">
        <v>42</v>
      </c>
      <c r="G14" s="7">
        <v>2017</v>
      </c>
      <c r="H14" s="7" t="str">
        <f>CONCATENATE("14270341754")</f>
        <v>14270341754</v>
      </c>
      <c r="I14" s="7" t="s">
        <v>30</v>
      </c>
      <c r="J14" s="7" t="s">
        <v>31</v>
      </c>
      <c r="K14" s="7" t="str">
        <f>CONCATENATE("")</f>
        <v/>
      </c>
      <c r="L14" s="7" t="str">
        <f>CONCATENATE("9 9.1 3a")</f>
        <v>9 9.1 3a</v>
      </c>
      <c r="M14" s="7" t="str">
        <f>CONCATENATE("00888380425")</f>
        <v>00888380425</v>
      </c>
      <c r="N14" s="7" t="s">
        <v>81</v>
      </c>
      <c r="O14" s="7" t="s">
        <v>77</v>
      </c>
      <c r="P14" s="8">
        <v>44544</v>
      </c>
      <c r="Q14" s="7" t="s">
        <v>32</v>
      </c>
      <c r="R14" s="7" t="s">
        <v>47</v>
      </c>
      <c r="S14" s="7" t="s">
        <v>34</v>
      </c>
      <c r="T14" s="7"/>
      <c r="U14" s="7" t="s">
        <v>35</v>
      </c>
      <c r="V14" s="9">
        <v>99000</v>
      </c>
      <c r="W14" s="9">
        <v>42688.800000000003</v>
      </c>
      <c r="X14" s="9">
        <v>39421.800000000003</v>
      </c>
      <c r="Y14" s="7">
        <v>0</v>
      </c>
      <c r="Z14" s="9">
        <v>16889.400000000001</v>
      </c>
    </row>
    <row r="15" spans="1:26" x14ac:dyDescent="0.35">
      <c r="A15" s="7" t="s">
        <v>27</v>
      </c>
      <c r="B15" s="7" t="s">
        <v>28</v>
      </c>
      <c r="C15" s="7" t="s">
        <v>50</v>
      </c>
      <c r="D15" s="7" t="s">
        <v>59</v>
      </c>
      <c r="E15" s="7" t="s">
        <v>44</v>
      </c>
      <c r="F15" s="7" t="s">
        <v>82</v>
      </c>
      <c r="G15" s="7">
        <v>2017</v>
      </c>
      <c r="H15" s="7" t="str">
        <f>CONCATENATE("14270337117")</f>
        <v>14270337117</v>
      </c>
      <c r="I15" s="7" t="s">
        <v>30</v>
      </c>
      <c r="J15" s="7" t="s">
        <v>31</v>
      </c>
      <c r="K15" s="7" t="str">
        <f>CONCATENATE("")</f>
        <v/>
      </c>
      <c r="L15" s="7" t="str">
        <f>CONCATENATE("4 4.1 2a")</f>
        <v>4 4.1 2a</v>
      </c>
      <c r="M15" s="7" t="str">
        <f>CONCATENATE("CRSRFL63L31H321M")</f>
        <v>CRSRFL63L31H321M</v>
      </c>
      <c r="N15" s="7" t="s">
        <v>83</v>
      </c>
      <c r="O15" s="7" t="s">
        <v>84</v>
      </c>
      <c r="P15" s="8">
        <v>44543</v>
      </c>
      <c r="Q15" s="7" t="s">
        <v>32</v>
      </c>
      <c r="R15" s="7" t="s">
        <v>33</v>
      </c>
      <c r="S15" s="7" t="s">
        <v>34</v>
      </c>
      <c r="T15" s="7"/>
      <c r="U15" s="7" t="s">
        <v>35</v>
      </c>
      <c r="V15" s="9">
        <v>14878.7</v>
      </c>
      <c r="W15" s="9">
        <v>6415.7</v>
      </c>
      <c r="X15" s="9">
        <v>5924.7</v>
      </c>
      <c r="Y15" s="7">
        <v>0</v>
      </c>
      <c r="Z15" s="9">
        <v>2538.3000000000002</v>
      </c>
    </row>
    <row r="16" spans="1:26" x14ac:dyDescent="0.35">
      <c r="A16" s="7" t="s">
        <v>27</v>
      </c>
      <c r="B16" s="7" t="s">
        <v>28</v>
      </c>
      <c r="C16" s="7" t="s">
        <v>50</v>
      </c>
      <c r="D16" s="7" t="s">
        <v>55</v>
      </c>
      <c r="E16" s="7" t="s">
        <v>42</v>
      </c>
      <c r="F16" s="7" t="s">
        <v>42</v>
      </c>
      <c r="G16" s="7">
        <v>2017</v>
      </c>
      <c r="H16" s="7" t="str">
        <f>CONCATENATE("14270338644")</f>
        <v>14270338644</v>
      </c>
      <c r="I16" s="7" t="s">
        <v>30</v>
      </c>
      <c r="J16" s="7" t="s">
        <v>31</v>
      </c>
      <c r="K16" s="7" t="str">
        <f>CONCATENATE("")</f>
        <v/>
      </c>
      <c r="L16" s="7" t="str">
        <f>CONCATENATE("4 4.1 2a")</f>
        <v>4 4.1 2a</v>
      </c>
      <c r="M16" s="7" t="str">
        <f>CONCATENATE("GRRLCU56T12D488Y")</f>
        <v>GRRLCU56T12D488Y</v>
      </c>
      <c r="N16" s="7" t="s">
        <v>85</v>
      </c>
      <c r="O16" s="7" t="s">
        <v>84</v>
      </c>
      <c r="P16" s="8">
        <v>44543</v>
      </c>
      <c r="Q16" s="7" t="s">
        <v>32</v>
      </c>
      <c r="R16" s="7" t="s">
        <v>33</v>
      </c>
      <c r="S16" s="7" t="s">
        <v>34</v>
      </c>
      <c r="T16" s="7"/>
      <c r="U16" s="7" t="s">
        <v>35</v>
      </c>
      <c r="V16" s="9">
        <v>302657.03999999998</v>
      </c>
      <c r="W16" s="9">
        <v>130505.72</v>
      </c>
      <c r="X16" s="9">
        <v>120518.03</v>
      </c>
      <c r="Y16" s="7">
        <v>0</v>
      </c>
      <c r="Z16" s="9">
        <v>51633.29</v>
      </c>
    </row>
    <row r="17" spans="1:26" x14ac:dyDescent="0.35">
      <c r="A17" s="7" t="s">
        <v>27</v>
      </c>
      <c r="B17" s="7" t="s">
        <v>28</v>
      </c>
      <c r="C17" s="7" t="s">
        <v>50</v>
      </c>
      <c r="D17" s="7" t="s">
        <v>55</v>
      </c>
      <c r="E17" s="7" t="s">
        <v>42</v>
      </c>
      <c r="F17" s="7" t="s">
        <v>42</v>
      </c>
      <c r="G17" s="7">
        <v>2017</v>
      </c>
      <c r="H17" s="7" t="str">
        <f>CONCATENATE("14270341747")</f>
        <v>14270341747</v>
      </c>
      <c r="I17" s="7" t="s">
        <v>30</v>
      </c>
      <c r="J17" s="7" t="s">
        <v>31</v>
      </c>
      <c r="K17" s="7" t="str">
        <f>CONCATENATE("")</f>
        <v/>
      </c>
      <c r="L17" s="7" t="str">
        <f>CONCATENATE("9 9.1 3a")</f>
        <v>9 9.1 3a</v>
      </c>
      <c r="M17" s="7" t="str">
        <f>CONCATENATE("02334930415")</f>
        <v>02334930415</v>
      </c>
      <c r="N17" s="7" t="s">
        <v>86</v>
      </c>
      <c r="O17" s="7" t="s">
        <v>77</v>
      </c>
      <c r="P17" s="8">
        <v>44544</v>
      </c>
      <c r="Q17" s="7" t="s">
        <v>32</v>
      </c>
      <c r="R17" s="7" t="s">
        <v>47</v>
      </c>
      <c r="S17" s="7" t="s">
        <v>34</v>
      </c>
      <c r="T17" s="7"/>
      <c r="U17" s="7" t="s">
        <v>35</v>
      </c>
      <c r="V17" s="9">
        <v>100000</v>
      </c>
      <c r="W17" s="9">
        <v>43120</v>
      </c>
      <c r="X17" s="9">
        <v>39820</v>
      </c>
      <c r="Y17" s="7">
        <v>0</v>
      </c>
      <c r="Z17" s="9">
        <v>17060</v>
      </c>
    </row>
    <row r="18" spans="1:26" x14ac:dyDescent="0.35">
      <c r="A18" s="7" t="s">
        <v>27</v>
      </c>
      <c r="B18" s="7" t="s">
        <v>28</v>
      </c>
      <c r="C18" s="7" t="s">
        <v>50</v>
      </c>
      <c r="D18" s="7" t="s">
        <v>59</v>
      </c>
      <c r="E18" s="7" t="s">
        <v>42</v>
      </c>
      <c r="F18" s="7" t="s">
        <v>42</v>
      </c>
      <c r="G18" s="7">
        <v>2017</v>
      </c>
      <c r="H18" s="7" t="str">
        <f>CONCATENATE("14270340897")</f>
        <v>14270340897</v>
      </c>
      <c r="I18" s="7" t="s">
        <v>30</v>
      </c>
      <c r="J18" s="7" t="s">
        <v>31</v>
      </c>
      <c r="K18" s="7" t="str">
        <f>CONCATENATE("")</f>
        <v/>
      </c>
      <c r="L18" s="7" t="str">
        <f>CONCATENATE("8 8.1 5e")</f>
        <v>8 8.1 5e</v>
      </c>
      <c r="M18" s="7" t="str">
        <f>CONCATENATE("SPNFBA85D05H769R")</f>
        <v>SPNFBA85D05H769R</v>
      </c>
      <c r="N18" s="7" t="s">
        <v>87</v>
      </c>
      <c r="O18" s="7" t="s">
        <v>88</v>
      </c>
      <c r="P18" s="8">
        <v>44540</v>
      </c>
      <c r="Q18" s="7" t="s">
        <v>32</v>
      </c>
      <c r="R18" s="7" t="s">
        <v>33</v>
      </c>
      <c r="S18" s="7" t="s">
        <v>34</v>
      </c>
      <c r="T18" s="7"/>
      <c r="U18" s="7" t="s">
        <v>35</v>
      </c>
      <c r="V18" s="9">
        <v>1954.43</v>
      </c>
      <c r="W18" s="7">
        <v>842.75</v>
      </c>
      <c r="X18" s="7">
        <v>778.25</v>
      </c>
      <c r="Y18" s="7">
        <v>0</v>
      </c>
      <c r="Z18" s="7">
        <v>333.43</v>
      </c>
    </row>
    <row r="19" spans="1:26" x14ac:dyDescent="0.35">
      <c r="A19" s="7" t="s">
        <v>27</v>
      </c>
      <c r="B19" s="7" t="s">
        <v>28</v>
      </c>
      <c r="C19" s="7" t="s">
        <v>50</v>
      </c>
      <c r="D19" s="7" t="s">
        <v>51</v>
      </c>
      <c r="E19" s="7" t="s">
        <v>42</v>
      </c>
      <c r="F19" s="7" t="s">
        <v>42</v>
      </c>
      <c r="G19" s="7">
        <v>2017</v>
      </c>
      <c r="H19" s="7" t="str">
        <f>CONCATENATE("14270346456")</f>
        <v>14270346456</v>
      </c>
      <c r="I19" s="7" t="s">
        <v>30</v>
      </c>
      <c r="J19" s="7" t="s">
        <v>31</v>
      </c>
      <c r="K19" s="7" t="str">
        <f>CONCATENATE("")</f>
        <v/>
      </c>
      <c r="L19" s="7" t="str">
        <f>CONCATENATE("3 3.2 3a")</f>
        <v>3 3.2 3a</v>
      </c>
      <c r="M19" s="7" t="str">
        <f>CONCATENATE("00807560420")</f>
        <v>00807560420</v>
      </c>
      <c r="N19" s="7" t="s">
        <v>89</v>
      </c>
      <c r="O19" s="7" t="s">
        <v>90</v>
      </c>
      <c r="P19" s="8">
        <v>44545</v>
      </c>
      <c r="Q19" s="7" t="s">
        <v>32</v>
      </c>
      <c r="R19" s="7" t="s">
        <v>33</v>
      </c>
      <c r="S19" s="7" t="s">
        <v>34</v>
      </c>
      <c r="T19" s="7"/>
      <c r="U19" s="7" t="s">
        <v>35</v>
      </c>
      <c r="V19" s="9">
        <v>231220.6</v>
      </c>
      <c r="W19" s="9">
        <v>99702.32</v>
      </c>
      <c r="X19" s="9">
        <v>92072.04</v>
      </c>
      <c r="Y19" s="7">
        <v>0</v>
      </c>
      <c r="Z19" s="9">
        <v>39446.239999999998</v>
      </c>
    </row>
    <row r="20" spans="1:26" x14ac:dyDescent="0.35">
      <c r="A20" s="7" t="s">
        <v>27</v>
      </c>
      <c r="B20" s="7" t="s">
        <v>28</v>
      </c>
      <c r="C20" s="7" t="s">
        <v>50</v>
      </c>
      <c r="D20" s="7" t="s">
        <v>55</v>
      </c>
      <c r="E20" s="7" t="s">
        <v>29</v>
      </c>
      <c r="F20" s="7" t="s">
        <v>91</v>
      </c>
      <c r="G20" s="7">
        <v>2017</v>
      </c>
      <c r="H20" s="7" t="str">
        <f>CONCATENATE("14270340954")</f>
        <v>14270340954</v>
      </c>
      <c r="I20" s="7" t="s">
        <v>30</v>
      </c>
      <c r="J20" s="7" t="s">
        <v>31</v>
      </c>
      <c r="K20" s="7" t="str">
        <f>CONCATENATE("")</f>
        <v/>
      </c>
      <c r="L20" s="7" t="str">
        <f>CONCATENATE("21 21.1 2a")</f>
        <v>21 21.1 2a</v>
      </c>
      <c r="M20" s="7" t="str">
        <f>CONCATENATE("91019730414")</f>
        <v>91019730414</v>
      </c>
      <c r="N20" s="7" t="s">
        <v>92</v>
      </c>
      <c r="O20" s="7" t="s">
        <v>93</v>
      </c>
      <c r="P20" s="8">
        <v>44540</v>
      </c>
      <c r="Q20" s="7" t="s">
        <v>32</v>
      </c>
      <c r="R20" s="7" t="s">
        <v>33</v>
      </c>
      <c r="S20" s="7" t="s">
        <v>34</v>
      </c>
      <c r="T20" s="7"/>
      <c r="U20" s="7" t="s">
        <v>35</v>
      </c>
      <c r="V20" s="9">
        <v>7000</v>
      </c>
      <c r="W20" s="9">
        <v>3018.4</v>
      </c>
      <c r="X20" s="9">
        <v>2787.4</v>
      </c>
      <c r="Y20" s="7">
        <v>0</v>
      </c>
      <c r="Z20" s="9">
        <v>1194.2</v>
      </c>
    </row>
    <row r="21" spans="1:26" x14ac:dyDescent="0.35">
      <c r="A21" s="7" t="s">
        <v>27</v>
      </c>
      <c r="B21" s="7" t="s">
        <v>28</v>
      </c>
      <c r="C21" s="7" t="s">
        <v>50</v>
      </c>
      <c r="D21" s="7" t="s">
        <v>51</v>
      </c>
      <c r="E21" s="7" t="s">
        <v>42</v>
      </c>
      <c r="F21" s="7" t="s">
        <v>42</v>
      </c>
      <c r="G21" s="7">
        <v>2017</v>
      </c>
      <c r="H21" s="7" t="str">
        <f>CONCATENATE("14270340947")</f>
        <v>14270340947</v>
      </c>
      <c r="I21" s="7" t="s">
        <v>40</v>
      </c>
      <c r="J21" s="7" t="s">
        <v>31</v>
      </c>
      <c r="K21" s="7" t="str">
        <f>CONCATENATE("")</f>
        <v/>
      </c>
      <c r="L21" s="7" t="str">
        <f>CONCATENATE("21 21.1 2a")</f>
        <v>21 21.1 2a</v>
      </c>
      <c r="M21" s="7" t="str">
        <f>CONCATENATE("PRSFNC40D20D124O")</f>
        <v>PRSFNC40D20D124O</v>
      </c>
      <c r="N21" s="7" t="s">
        <v>94</v>
      </c>
      <c r="O21" s="7" t="s">
        <v>93</v>
      </c>
      <c r="P21" s="8">
        <v>44540</v>
      </c>
      <c r="Q21" s="7" t="s">
        <v>32</v>
      </c>
      <c r="R21" s="7" t="s">
        <v>33</v>
      </c>
      <c r="S21" s="7" t="s">
        <v>34</v>
      </c>
      <c r="T21" s="7"/>
      <c r="U21" s="7" t="s">
        <v>35</v>
      </c>
      <c r="V21" s="9">
        <v>7000</v>
      </c>
      <c r="W21" s="9">
        <v>3018.4</v>
      </c>
      <c r="X21" s="9">
        <v>2787.4</v>
      </c>
      <c r="Y21" s="7">
        <v>0</v>
      </c>
      <c r="Z21" s="9">
        <v>1194.2</v>
      </c>
    </row>
    <row r="22" spans="1:26" x14ac:dyDescent="0.35">
      <c r="A22" s="7" t="s">
        <v>27</v>
      </c>
      <c r="B22" s="7" t="s">
        <v>28</v>
      </c>
      <c r="C22" s="7" t="s">
        <v>50</v>
      </c>
      <c r="D22" s="7" t="s">
        <v>95</v>
      </c>
      <c r="E22" s="7" t="s">
        <v>42</v>
      </c>
      <c r="F22" s="7" t="s">
        <v>42</v>
      </c>
      <c r="G22" s="7">
        <v>2017</v>
      </c>
      <c r="H22" s="7" t="str">
        <f>CONCATENATE("14270341606")</f>
        <v>14270341606</v>
      </c>
      <c r="I22" s="7" t="s">
        <v>40</v>
      </c>
      <c r="J22" s="7" t="s">
        <v>31</v>
      </c>
      <c r="K22" s="7" t="str">
        <f>CONCATENATE("")</f>
        <v/>
      </c>
      <c r="L22" s="7" t="str">
        <f>CONCATENATE("6 6.1 2b")</f>
        <v>6 6.1 2b</v>
      </c>
      <c r="M22" s="7" t="str">
        <f>CONCATENATE("01914370430")</f>
        <v>01914370430</v>
      </c>
      <c r="N22" s="7" t="s">
        <v>96</v>
      </c>
      <c r="O22" s="7" t="s">
        <v>97</v>
      </c>
      <c r="P22" s="8">
        <v>44540</v>
      </c>
      <c r="Q22" s="7" t="s">
        <v>32</v>
      </c>
      <c r="R22" s="7" t="s">
        <v>33</v>
      </c>
      <c r="S22" s="7" t="s">
        <v>34</v>
      </c>
      <c r="T22" s="7"/>
      <c r="U22" s="7" t="s">
        <v>35</v>
      </c>
      <c r="V22" s="9">
        <v>21000</v>
      </c>
      <c r="W22" s="9">
        <v>9055.2000000000007</v>
      </c>
      <c r="X22" s="9">
        <v>8362.2000000000007</v>
      </c>
      <c r="Y22" s="7">
        <v>0</v>
      </c>
      <c r="Z22" s="9">
        <v>3582.6</v>
      </c>
    </row>
    <row r="23" spans="1:26" x14ac:dyDescent="0.35">
      <c r="A23" s="7" t="s">
        <v>27</v>
      </c>
      <c r="B23" s="7" t="s">
        <v>28</v>
      </c>
      <c r="C23" s="7" t="s">
        <v>50</v>
      </c>
      <c r="D23" s="7" t="s">
        <v>55</v>
      </c>
      <c r="E23" s="7" t="s">
        <v>41</v>
      </c>
      <c r="F23" s="7" t="s">
        <v>98</v>
      </c>
      <c r="G23" s="7">
        <v>2017</v>
      </c>
      <c r="H23" s="7" t="str">
        <f>CONCATENATE("14270340921")</f>
        <v>14270340921</v>
      </c>
      <c r="I23" s="7" t="s">
        <v>30</v>
      </c>
      <c r="J23" s="7" t="s">
        <v>31</v>
      </c>
      <c r="K23" s="7" t="str">
        <f>CONCATENATE("")</f>
        <v/>
      </c>
      <c r="L23" s="7" t="str">
        <f>CONCATENATE("21 21.1 2a")</f>
        <v>21 21.1 2a</v>
      </c>
      <c r="M23" s="7" t="str">
        <f>CONCATENATE("WSSFKH58C70Z112B")</f>
        <v>WSSFKH58C70Z112B</v>
      </c>
      <c r="N23" s="7" t="s">
        <v>99</v>
      </c>
      <c r="O23" s="7" t="s">
        <v>93</v>
      </c>
      <c r="P23" s="8">
        <v>44540</v>
      </c>
      <c r="Q23" s="7" t="s">
        <v>32</v>
      </c>
      <c r="R23" s="7" t="s">
        <v>33</v>
      </c>
      <c r="S23" s="7" t="s">
        <v>34</v>
      </c>
      <c r="T23" s="7"/>
      <c r="U23" s="7" t="s">
        <v>35</v>
      </c>
      <c r="V23" s="9">
        <v>7000</v>
      </c>
      <c r="W23" s="9">
        <v>3018.4</v>
      </c>
      <c r="X23" s="9">
        <v>2787.4</v>
      </c>
      <c r="Y23" s="7">
        <v>0</v>
      </c>
      <c r="Z23" s="9">
        <v>1194.2</v>
      </c>
    </row>
    <row r="24" spans="1:26" x14ac:dyDescent="0.35">
      <c r="A24" s="7" t="s">
        <v>27</v>
      </c>
      <c r="B24" s="7" t="s">
        <v>28</v>
      </c>
      <c r="C24" s="7" t="s">
        <v>50</v>
      </c>
      <c r="D24" s="7" t="s">
        <v>51</v>
      </c>
      <c r="E24" s="7" t="s">
        <v>42</v>
      </c>
      <c r="F24" s="7" t="s">
        <v>42</v>
      </c>
      <c r="G24" s="7">
        <v>2017</v>
      </c>
      <c r="H24" s="7" t="str">
        <f>CONCATENATE("14270337380")</f>
        <v>14270337380</v>
      </c>
      <c r="I24" s="7" t="s">
        <v>30</v>
      </c>
      <c r="J24" s="7" t="s">
        <v>31</v>
      </c>
      <c r="K24" s="7" t="str">
        <f>CONCATENATE("")</f>
        <v/>
      </c>
      <c r="L24" s="7" t="str">
        <f>CONCATENATE("6 6.1 2b")</f>
        <v>6 6.1 2b</v>
      </c>
      <c r="M24" s="7" t="str">
        <f>CONCATENATE("02747110423")</f>
        <v>02747110423</v>
      </c>
      <c r="N24" s="7" t="s">
        <v>100</v>
      </c>
      <c r="O24" s="7" t="s">
        <v>101</v>
      </c>
      <c r="P24" s="8">
        <v>44543</v>
      </c>
      <c r="Q24" s="7" t="s">
        <v>32</v>
      </c>
      <c r="R24" s="7" t="s">
        <v>33</v>
      </c>
      <c r="S24" s="7" t="s">
        <v>34</v>
      </c>
      <c r="T24" s="7"/>
      <c r="U24" s="7" t="s">
        <v>35</v>
      </c>
      <c r="V24" s="9">
        <v>15000</v>
      </c>
      <c r="W24" s="9">
        <v>6468</v>
      </c>
      <c r="X24" s="9">
        <v>5973</v>
      </c>
      <c r="Y24" s="7">
        <v>0</v>
      </c>
      <c r="Z24" s="9">
        <v>2559</v>
      </c>
    </row>
    <row r="25" spans="1:26" x14ac:dyDescent="0.35">
      <c r="A25" s="7" t="s">
        <v>27</v>
      </c>
      <c r="B25" s="7" t="s">
        <v>28</v>
      </c>
      <c r="C25" s="7" t="s">
        <v>50</v>
      </c>
      <c r="D25" s="7" t="s">
        <v>51</v>
      </c>
      <c r="E25" s="7" t="s">
        <v>42</v>
      </c>
      <c r="F25" s="7" t="s">
        <v>42</v>
      </c>
      <c r="G25" s="7">
        <v>2017</v>
      </c>
      <c r="H25" s="7" t="str">
        <f>CONCATENATE("14270337406")</f>
        <v>14270337406</v>
      </c>
      <c r="I25" s="7" t="s">
        <v>30</v>
      </c>
      <c r="J25" s="7" t="s">
        <v>31</v>
      </c>
      <c r="K25" s="7" t="str">
        <f>CONCATENATE("")</f>
        <v/>
      </c>
      <c r="L25" s="7" t="str">
        <f>CONCATENATE("4 4.1 2a")</f>
        <v>4 4.1 2a</v>
      </c>
      <c r="M25" s="7" t="str">
        <f>CONCATENATE("02747110423")</f>
        <v>02747110423</v>
      </c>
      <c r="N25" s="7" t="s">
        <v>100</v>
      </c>
      <c r="O25" s="7" t="s">
        <v>102</v>
      </c>
      <c r="P25" s="8">
        <v>44543</v>
      </c>
      <c r="Q25" s="7" t="s">
        <v>32</v>
      </c>
      <c r="R25" s="7" t="s">
        <v>33</v>
      </c>
      <c r="S25" s="7" t="s">
        <v>34</v>
      </c>
      <c r="T25" s="7"/>
      <c r="U25" s="7" t="s">
        <v>35</v>
      </c>
      <c r="V25" s="9">
        <v>23167.11</v>
      </c>
      <c r="W25" s="9">
        <v>9989.66</v>
      </c>
      <c r="X25" s="9">
        <v>9225.14</v>
      </c>
      <c r="Y25" s="7">
        <v>0</v>
      </c>
      <c r="Z25" s="9">
        <v>3952.31</v>
      </c>
    </row>
    <row r="26" spans="1:26" ht="17.5" x14ac:dyDescent="0.35">
      <c r="A26" s="7" t="s">
        <v>27</v>
      </c>
      <c r="B26" s="7" t="s">
        <v>28</v>
      </c>
      <c r="C26" s="7" t="s">
        <v>50</v>
      </c>
      <c r="D26" s="7" t="s">
        <v>59</v>
      </c>
      <c r="E26" s="7" t="s">
        <v>44</v>
      </c>
      <c r="F26" s="7" t="s">
        <v>82</v>
      </c>
      <c r="G26" s="7">
        <v>2017</v>
      </c>
      <c r="H26" s="7" t="str">
        <f>CONCATENATE("14270346498")</f>
        <v>14270346498</v>
      </c>
      <c r="I26" s="7" t="s">
        <v>30</v>
      </c>
      <c r="J26" s="7" t="s">
        <v>31</v>
      </c>
      <c r="K26" s="7" t="str">
        <f>CONCATENATE("")</f>
        <v/>
      </c>
      <c r="L26" s="7" t="str">
        <f>CONCATENATE("6 6.4 2a")</f>
        <v>6 6.4 2a</v>
      </c>
      <c r="M26" s="7" t="str">
        <f>CONCATENATE("02255700441")</f>
        <v>02255700441</v>
      </c>
      <c r="N26" s="7" t="s">
        <v>103</v>
      </c>
      <c r="O26" s="7" t="s">
        <v>104</v>
      </c>
      <c r="P26" s="8">
        <v>44545</v>
      </c>
      <c r="Q26" s="7" t="s">
        <v>32</v>
      </c>
      <c r="R26" s="7" t="s">
        <v>33</v>
      </c>
      <c r="S26" s="7" t="s">
        <v>34</v>
      </c>
      <c r="T26" s="7"/>
      <c r="U26" s="7" t="s">
        <v>35</v>
      </c>
      <c r="V26" s="9">
        <v>35148.42</v>
      </c>
      <c r="W26" s="9">
        <v>15156</v>
      </c>
      <c r="X26" s="9">
        <v>13996.1</v>
      </c>
      <c r="Y26" s="7">
        <v>0</v>
      </c>
      <c r="Z26" s="9">
        <v>5996.32</v>
      </c>
    </row>
    <row r="27" spans="1:26" x14ac:dyDescent="0.35">
      <c r="A27" s="7" t="s">
        <v>27</v>
      </c>
      <c r="B27" s="7" t="s">
        <v>28</v>
      </c>
      <c r="C27" s="7" t="s">
        <v>50</v>
      </c>
      <c r="D27" s="7" t="s">
        <v>50</v>
      </c>
      <c r="E27" s="7" t="s">
        <v>42</v>
      </c>
      <c r="F27" s="7" t="s">
        <v>42</v>
      </c>
      <c r="G27" s="7">
        <v>2017</v>
      </c>
      <c r="H27" s="7" t="str">
        <f>CONCATENATE("14270341846")</f>
        <v>14270341846</v>
      </c>
      <c r="I27" s="7" t="s">
        <v>30</v>
      </c>
      <c r="J27" s="7" t="s">
        <v>31</v>
      </c>
      <c r="K27" s="7" t="str">
        <f>CONCATENATE("")</f>
        <v/>
      </c>
      <c r="L27" s="7" t="str">
        <f>CONCATENATE("19 19.2 6b")</f>
        <v>19 19.2 6b</v>
      </c>
      <c r="M27" s="7" t="str">
        <f>CONCATENATE("02346380443")</f>
        <v>02346380443</v>
      </c>
      <c r="N27" s="7" t="s">
        <v>105</v>
      </c>
      <c r="O27" s="7" t="s">
        <v>106</v>
      </c>
      <c r="P27" s="8">
        <v>44540</v>
      </c>
      <c r="Q27" s="7" t="s">
        <v>32</v>
      </c>
      <c r="R27" s="7" t="s">
        <v>33</v>
      </c>
      <c r="S27" s="7" t="s">
        <v>34</v>
      </c>
      <c r="T27" s="7"/>
      <c r="U27" s="7" t="s">
        <v>35</v>
      </c>
      <c r="V27" s="9">
        <v>35000</v>
      </c>
      <c r="W27" s="9">
        <v>15092</v>
      </c>
      <c r="X27" s="9">
        <v>13937</v>
      </c>
      <c r="Y27" s="7">
        <v>0</v>
      </c>
      <c r="Z27" s="9">
        <v>5971</v>
      </c>
    </row>
    <row r="28" spans="1:26" x14ac:dyDescent="0.35">
      <c r="A28" s="7" t="s">
        <v>27</v>
      </c>
      <c r="B28" s="7" t="s">
        <v>28</v>
      </c>
      <c r="C28" s="7" t="s">
        <v>50</v>
      </c>
      <c r="D28" s="7" t="s">
        <v>50</v>
      </c>
      <c r="E28" s="7" t="s">
        <v>42</v>
      </c>
      <c r="F28" s="7" t="s">
        <v>42</v>
      </c>
      <c r="G28" s="7">
        <v>2017</v>
      </c>
      <c r="H28" s="7" t="str">
        <f>CONCATENATE("14270341218")</f>
        <v>14270341218</v>
      </c>
      <c r="I28" s="7" t="s">
        <v>30</v>
      </c>
      <c r="J28" s="7" t="s">
        <v>31</v>
      </c>
      <c r="K28" s="7" t="str">
        <f>CONCATENATE("")</f>
        <v/>
      </c>
      <c r="L28" s="7" t="str">
        <f>CONCATENATE("19 19.2 6b")</f>
        <v>19 19.2 6b</v>
      </c>
      <c r="M28" s="7" t="str">
        <f>CONCATENATE("80001250440")</f>
        <v>80001250440</v>
      </c>
      <c r="N28" s="7" t="s">
        <v>107</v>
      </c>
      <c r="O28" s="7" t="s">
        <v>108</v>
      </c>
      <c r="P28" s="8">
        <v>44540</v>
      </c>
      <c r="Q28" s="7" t="s">
        <v>32</v>
      </c>
      <c r="R28" s="7" t="s">
        <v>46</v>
      </c>
      <c r="S28" s="7" t="s">
        <v>34</v>
      </c>
      <c r="T28" s="7"/>
      <c r="U28" s="7" t="s">
        <v>35</v>
      </c>
      <c r="V28" s="9">
        <v>31500</v>
      </c>
      <c r="W28" s="9">
        <v>13582.8</v>
      </c>
      <c r="X28" s="9">
        <v>12543.3</v>
      </c>
      <c r="Y28" s="7">
        <v>0</v>
      </c>
      <c r="Z28" s="9">
        <v>5373.9</v>
      </c>
    </row>
    <row r="29" spans="1:26" x14ac:dyDescent="0.35">
      <c r="A29" s="7" t="s">
        <v>27</v>
      </c>
      <c r="B29" s="7" t="s">
        <v>28</v>
      </c>
      <c r="C29" s="7" t="s">
        <v>50</v>
      </c>
      <c r="D29" s="7" t="s">
        <v>50</v>
      </c>
      <c r="E29" s="7" t="s">
        <v>42</v>
      </c>
      <c r="F29" s="7" t="s">
        <v>42</v>
      </c>
      <c r="G29" s="7">
        <v>2017</v>
      </c>
      <c r="H29" s="7" t="str">
        <f>CONCATENATE("14270341234")</f>
        <v>14270341234</v>
      </c>
      <c r="I29" s="7" t="s">
        <v>30</v>
      </c>
      <c r="J29" s="7" t="s">
        <v>31</v>
      </c>
      <c r="K29" s="7" t="str">
        <f>CONCATENATE("")</f>
        <v/>
      </c>
      <c r="L29" s="7" t="str">
        <f>CONCATENATE("19 19.2 6b")</f>
        <v>19 19.2 6b</v>
      </c>
      <c r="M29" s="7" t="str">
        <f>CONCATENATE("00363500448")</f>
        <v>00363500448</v>
      </c>
      <c r="N29" s="7" t="s">
        <v>109</v>
      </c>
      <c r="O29" s="7" t="s">
        <v>110</v>
      </c>
      <c r="P29" s="8">
        <v>44544</v>
      </c>
      <c r="Q29" s="7" t="s">
        <v>32</v>
      </c>
      <c r="R29" s="7" t="s">
        <v>46</v>
      </c>
      <c r="S29" s="7" t="s">
        <v>34</v>
      </c>
      <c r="T29" s="7"/>
      <c r="U29" s="7" t="s">
        <v>35</v>
      </c>
      <c r="V29" s="9">
        <v>14397.19</v>
      </c>
      <c r="W29" s="9">
        <v>6208.07</v>
      </c>
      <c r="X29" s="9">
        <v>5732.96</v>
      </c>
      <c r="Y29" s="7">
        <v>0</v>
      </c>
      <c r="Z29" s="9">
        <v>2456.16</v>
      </c>
    </row>
    <row r="30" spans="1:26" x14ac:dyDescent="0.35">
      <c r="A30" s="7" t="s">
        <v>27</v>
      </c>
      <c r="B30" s="7" t="s">
        <v>28</v>
      </c>
      <c r="C30" s="7" t="s">
        <v>50</v>
      </c>
      <c r="D30" s="7" t="s">
        <v>50</v>
      </c>
      <c r="E30" s="7" t="s">
        <v>42</v>
      </c>
      <c r="F30" s="7" t="s">
        <v>42</v>
      </c>
      <c r="G30" s="7">
        <v>2017</v>
      </c>
      <c r="H30" s="7" t="str">
        <f>CONCATENATE("14270345250")</f>
        <v>14270345250</v>
      </c>
      <c r="I30" s="7" t="s">
        <v>30</v>
      </c>
      <c r="J30" s="7" t="s">
        <v>31</v>
      </c>
      <c r="K30" s="7" t="str">
        <f>CONCATENATE("")</f>
        <v/>
      </c>
      <c r="L30" s="7" t="str">
        <f>CONCATENATE("19 19.2 6b")</f>
        <v>19 19.2 6b</v>
      </c>
      <c r="M30" s="7" t="str">
        <f>CONCATENATE("00356080440")</f>
        <v>00356080440</v>
      </c>
      <c r="N30" s="7" t="s">
        <v>111</v>
      </c>
      <c r="O30" s="7" t="s">
        <v>112</v>
      </c>
      <c r="P30" s="8">
        <v>44544</v>
      </c>
      <c r="Q30" s="7" t="s">
        <v>32</v>
      </c>
      <c r="R30" s="7" t="s">
        <v>46</v>
      </c>
      <c r="S30" s="7" t="s">
        <v>34</v>
      </c>
      <c r="T30" s="7"/>
      <c r="U30" s="7" t="s">
        <v>35</v>
      </c>
      <c r="V30" s="9">
        <v>34524.49</v>
      </c>
      <c r="W30" s="9">
        <v>14886.96</v>
      </c>
      <c r="X30" s="9">
        <v>13747.65</v>
      </c>
      <c r="Y30" s="7">
        <v>0</v>
      </c>
      <c r="Z30" s="9">
        <v>5889.88</v>
      </c>
    </row>
    <row r="31" spans="1:26" x14ac:dyDescent="0.35">
      <c r="A31" s="7" t="s">
        <v>27</v>
      </c>
      <c r="B31" s="7" t="s">
        <v>28</v>
      </c>
      <c r="C31" s="7" t="s">
        <v>50</v>
      </c>
      <c r="D31" s="7" t="s">
        <v>50</v>
      </c>
      <c r="E31" s="7" t="s">
        <v>42</v>
      </c>
      <c r="F31" s="7" t="s">
        <v>42</v>
      </c>
      <c r="G31" s="7">
        <v>2017</v>
      </c>
      <c r="H31" s="7" t="str">
        <f>CONCATENATE("14270341226")</f>
        <v>14270341226</v>
      </c>
      <c r="I31" s="7" t="s">
        <v>30</v>
      </c>
      <c r="J31" s="7" t="s">
        <v>31</v>
      </c>
      <c r="K31" s="7" t="str">
        <f>CONCATENATE("")</f>
        <v/>
      </c>
      <c r="L31" s="7" t="str">
        <f>CONCATENATE("19 19.2 6b")</f>
        <v>19 19.2 6b</v>
      </c>
      <c r="M31" s="7" t="str">
        <f>CONCATENATE("80000330441")</f>
        <v>80000330441</v>
      </c>
      <c r="N31" s="7" t="s">
        <v>113</v>
      </c>
      <c r="O31" s="7" t="s">
        <v>112</v>
      </c>
      <c r="P31" s="8">
        <v>44544</v>
      </c>
      <c r="Q31" s="7" t="s">
        <v>32</v>
      </c>
      <c r="R31" s="7" t="s">
        <v>46</v>
      </c>
      <c r="S31" s="7" t="s">
        <v>34</v>
      </c>
      <c r="T31" s="7"/>
      <c r="U31" s="7" t="s">
        <v>35</v>
      </c>
      <c r="V31" s="9">
        <v>17398.89</v>
      </c>
      <c r="W31" s="9">
        <v>7502.4</v>
      </c>
      <c r="X31" s="9">
        <v>6928.24</v>
      </c>
      <c r="Y31" s="7">
        <v>0</v>
      </c>
      <c r="Z31" s="9">
        <v>2968.25</v>
      </c>
    </row>
    <row r="32" spans="1:26" x14ac:dyDescent="0.35">
      <c r="A32" s="7" t="s">
        <v>27</v>
      </c>
      <c r="B32" s="7" t="s">
        <v>28</v>
      </c>
      <c r="C32" s="7" t="s">
        <v>50</v>
      </c>
      <c r="D32" s="7" t="s">
        <v>50</v>
      </c>
      <c r="E32" s="7" t="s">
        <v>42</v>
      </c>
      <c r="F32" s="7" t="s">
        <v>42</v>
      </c>
      <c r="G32" s="7">
        <v>2017</v>
      </c>
      <c r="H32" s="7" t="str">
        <f>CONCATENATE("14270343248")</f>
        <v>14270343248</v>
      </c>
      <c r="I32" s="7" t="s">
        <v>30</v>
      </c>
      <c r="J32" s="7" t="s">
        <v>31</v>
      </c>
      <c r="K32" s="7" t="str">
        <f>CONCATENATE("")</f>
        <v/>
      </c>
      <c r="L32" s="7" t="str">
        <f>CONCATENATE("19 19.2 6b")</f>
        <v>19 19.2 6b</v>
      </c>
      <c r="M32" s="7" t="str">
        <f>CONCATENATE("00370910440")</f>
        <v>00370910440</v>
      </c>
      <c r="N32" s="7" t="s">
        <v>114</v>
      </c>
      <c r="O32" s="7" t="s">
        <v>112</v>
      </c>
      <c r="P32" s="8">
        <v>44544</v>
      </c>
      <c r="Q32" s="7" t="s">
        <v>32</v>
      </c>
      <c r="R32" s="7" t="s">
        <v>46</v>
      </c>
      <c r="S32" s="7" t="s">
        <v>34</v>
      </c>
      <c r="T32" s="7"/>
      <c r="U32" s="7" t="s">
        <v>35</v>
      </c>
      <c r="V32" s="9">
        <v>35999.910000000003</v>
      </c>
      <c r="W32" s="9">
        <v>15523.16</v>
      </c>
      <c r="X32" s="9">
        <v>14335.16</v>
      </c>
      <c r="Y32" s="7">
        <v>0</v>
      </c>
      <c r="Z32" s="9">
        <v>6141.59</v>
      </c>
    </row>
    <row r="33" spans="1:26" x14ac:dyDescent="0.35">
      <c r="A33" s="7" t="s">
        <v>27</v>
      </c>
      <c r="B33" s="7" t="s">
        <v>28</v>
      </c>
      <c r="C33" s="7" t="s">
        <v>50</v>
      </c>
      <c r="D33" s="7" t="s">
        <v>50</v>
      </c>
      <c r="E33" s="7" t="s">
        <v>42</v>
      </c>
      <c r="F33" s="7" t="s">
        <v>42</v>
      </c>
      <c r="G33" s="7">
        <v>2017</v>
      </c>
      <c r="H33" s="7" t="str">
        <f>CONCATENATE("14270341242")</f>
        <v>14270341242</v>
      </c>
      <c r="I33" s="7" t="s">
        <v>30</v>
      </c>
      <c r="J33" s="7" t="s">
        <v>31</v>
      </c>
      <c r="K33" s="7" t="str">
        <f>CONCATENATE("")</f>
        <v/>
      </c>
      <c r="L33" s="7" t="str">
        <f>CONCATENATE("19 19.2 6b")</f>
        <v>19 19.2 6b</v>
      </c>
      <c r="M33" s="7" t="str">
        <f>CONCATENATE("80000330441")</f>
        <v>80000330441</v>
      </c>
      <c r="N33" s="7" t="s">
        <v>113</v>
      </c>
      <c r="O33" s="7" t="s">
        <v>110</v>
      </c>
      <c r="P33" s="8">
        <v>44544</v>
      </c>
      <c r="Q33" s="7" t="s">
        <v>32</v>
      </c>
      <c r="R33" s="7" t="s">
        <v>46</v>
      </c>
      <c r="S33" s="7" t="s">
        <v>34</v>
      </c>
      <c r="T33" s="7"/>
      <c r="U33" s="7" t="s">
        <v>35</v>
      </c>
      <c r="V33" s="9">
        <v>31380.799999999999</v>
      </c>
      <c r="W33" s="9">
        <v>13531.4</v>
      </c>
      <c r="X33" s="9">
        <v>12495.83</v>
      </c>
      <c r="Y33" s="7">
        <v>0</v>
      </c>
      <c r="Z33" s="9">
        <v>5353.57</v>
      </c>
    </row>
    <row r="34" spans="1:26" x14ac:dyDescent="0.35">
      <c r="A34" s="7" t="s">
        <v>27</v>
      </c>
      <c r="B34" s="7" t="s">
        <v>28</v>
      </c>
      <c r="C34" s="7" t="s">
        <v>50</v>
      </c>
      <c r="D34" s="7" t="s">
        <v>50</v>
      </c>
      <c r="E34" s="7" t="s">
        <v>42</v>
      </c>
      <c r="F34" s="7" t="s">
        <v>42</v>
      </c>
      <c r="G34" s="7">
        <v>2017</v>
      </c>
      <c r="H34" s="7" t="str">
        <f>CONCATENATE("14270341267")</f>
        <v>14270341267</v>
      </c>
      <c r="I34" s="7" t="s">
        <v>30</v>
      </c>
      <c r="J34" s="7" t="s">
        <v>31</v>
      </c>
      <c r="K34" s="7" t="str">
        <f>CONCATENATE("")</f>
        <v/>
      </c>
      <c r="L34" s="7" t="str">
        <f>CONCATENATE("19 19.2 6b")</f>
        <v>19 19.2 6b</v>
      </c>
      <c r="M34" s="7" t="str">
        <f>CONCATENATE("00330500448")</f>
        <v>00330500448</v>
      </c>
      <c r="N34" s="7" t="s">
        <v>115</v>
      </c>
      <c r="O34" s="7" t="s">
        <v>116</v>
      </c>
      <c r="P34" s="8">
        <v>44544</v>
      </c>
      <c r="Q34" s="7" t="s">
        <v>32</v>
      </c>
      <c r="R34" s="7" t="s">
        <v>46</v>
      </c>
      <c r="S34" s="7" t="s">
        <v>34</v>
      </c>
      <c r="T34" s="7"/>
      <c r="U34" s="7" t="s">
        <v>35</v>
      </c>
      <c r="V34" s="9">
        <v>23827.4</v>
      </c>
      <c r="W34" s="9">
        <v>10274.370000000001</v>
      </c>
      <c r="X34" s="9">
        <v>9488.07</v>
      </c>
      <c r="Y34" s="7">
        <v>0</v>
      </c>
      <c r="Z34" s="9">
        <v>4064.96</v>
      </c>
    </row>
    <row r="35" spans="1:26" x14ac:dyDescent="0.35">
      <c r="A35" s="7" t="s">
        <v>27</v>
      </c>
      <c r="B35" s="7" t="s">
        <v>28</v>
      </c>
      <c r="C35" s="7" t="s">
        <v>50</v>
      </c>
      <c r="D35" s="7" t="s">
        <v>50</v>
      </c>
      <c r="E35" s="7" t="s">
        <v>42</v>
      </c>
      <c r="F35" s="7" t="s">
        <v>42</v>
      </c>
      <c r="G35" s="7">
        <v>2017</v>
      </c>
      <c r="H35" s="7" t="str">
        <f>CONCATENATE("14270342075")</f>
        <v>14270342075</v>
      </c>
      <c r="I35" s="7" t="s">
        <v>30</v>
      </c>
      <c r="J35" s="7" t="s">
        <v>31</v>
      </c>
      <c r="K35" s="7" t="str">
        <f>CONCATENATE("")</f>
        <v/>
      </c>
      <c r="L35" s="7" t="str">
        <f>CONCATENATE("19 19.2 6b")</f>
        <v>19 19.2 6b</v>
      </c>
      <c r="M35" s="7" t="str">
        <f>CONCATENATE("00330500448")</f>
        <v>00330500448</v>
      </c>
      <c r="N35" s="7" t="s">
        <v>115</v>
      </c>
      <c r="O35" s="7" t="s">
        <v>117</v>
      </c>
      <c r="P35" s="8">
        <v>44544</v>
      </c>
      <c r="Q35" s="7" t="s">
        <v>32</v>
      </c>
      <c r="R35" s="7" t="s">
        <v>46</v>
      </c>
      <c r="S35" s="7" t="s">
        <v>34</v>
      </c>
      <c r="T35" s="7"/>
      <c r="U35" s="7" t="s">
        <v>35</v>
      </c>
      <c r="V35" s="9">
        <v>45225</v>
      </c>
      <c r="W35" s="9">
        <v>19501.02</v>
      </c>
      <c r="X35" s="9">
        <v>18008.599999999999</v>
      </c>
      <c r="Y35" s="7">
        <v>0</v>
      </c>
      <c r="Z35" s="9">
        <v>7715.38</v>
      </c>
    </row>
    <row r="36" spans="1:26" x14ac:dyDescent="0.35">
      <c r="A36" s="7" t="s">
        <v>27</v>
      </c>
      <c r="B36" s="7" t="s">
        <v>28</v>
      </c>
      <c r="C36" s="7" t="s">
        <v>50</v>
      </c>
      <c r="D36" s="7" t="s">
        <v>50</v>
      </c>
      <c r="E36" s="7" t="s">
        <v>42</v>
      </c>
      <c r="F36" s="7" t="s">
        <v>42</v>
      </c>
      <c r="G36" s="7">
        <v>2017</v>
      </c>
      <c r="H36" s="7" t="str">
        <f>CONCATENATE("14270342935")</f>
        <v>14270342935</v>
      </c>
      <c r="I36" s="7" t="s">
        <v>30</v>
      </c>
      <c r="J36" s="7" t="s">
        <v>31</v>
      </c>
      <c r="K36" s="7" t="str">
        <f>CONCATENATE("")</f>
        <v/>
      </c>
      <c r="L36" s="7" t="str">
        <f>CONCATENATE("19 19.2 6b")</f>
        <v>19 19.2 6b</v>
      </c>
      <c r="M36" s="7" t="str">
        <f>CONCATENATE("00334990447")</f>
        <v>00334990447</v>
      </c>
      <c r="N36" s="7" t="s">
        <v>118</v>
      </c>
      <c r="O36" s="7" t="s">
        <v>119</v>
      </c>
      <c r="P36" s="8">
        <v>44544</v>
      </c>
      <c r="Q36" s="7" t="s">
        <v>32</v>
      </c>
      <c r="R36" s="7" t="s">
        <v>46</v>
      </c>
      <c r="S36" s="7" t="s">
        <v>34</v>
      </c>
      <c r="T36" s="7"/>
      <c r="U36" s="7" t="s">
        <v>35</v>
      </c>
      <c r="V36" s="9">
        <v>53973.66</v>
      </c>
      <c r="W36" s="9">
        <v>23273.439999999999</v>
      </c>
      <c r="X36" s="9">
        <v>21492.31</v>
      </c>
      <c r="Y36" s="7">
        <v>0</v>
      </c>
      <c r="Z36" s="9">
        <v>9207.91</v>
      </c>
    </row>
    <row r="37" spans="1:26" x14ac:dyDescent="0.35">
      <c r="A37" s="7" t="s">
        <v>27</v>
      </c>
      <c r="B37" s="7" t="s">
        <v>28</v>
      </c>
      <c r="C37" s="7" t="s">
        <v>50</v>
      </c>
      <c r="D37" s="7" t="s">
        <v>50</v>
      </c>
      <c r="E37" s="7" t="s">
        <v>42</v>
      </c>
      <c r="F37" s="7" t="s">
        <v>42</v>
      </c>
      <c r="G37" s="7">
        <v>2017</v>
      </c>
      <c r="H37" s="7" t="str">
        <f>CONCATENATE("14270342943")</f>
        <v>14270342943</v>
      </c>
      <c r="I37" s="7" t="s">
        <v>30</v>
      </c>
      <c r="J37" s="7" t="s">
        <v>31</v>
      </c>
      <c r="K37" s="7" t="str">
        <f>CONCATENATE("")</f>
        <v/>
      </c>
      <c r="L37" s="7" t="str">
        <f>CONCATENATE("19 19.2 6b")</f>
        <v>19 19.2 6b</v>
      </c>
      <c r="M37" s="7" t="str">
        <f>CONCATENATE("81000910430")</f>
        <v>81000910430</v>
      </c>
      <c r="N37" s="7" t="s">
        <v>120</v>
      </c>
      <c r="O37" s="7" t="s">
        <v>121</v>
      </c>
      <c r="P37" s="8">
        <v>44544</v>
      </c>
      <c r="Q37" s="7" t="s">
        <v>32</v>
      </c>
      <c r="R37" s="7" t="s">
        <v>46</v>
      </c>
      <c r="S37" s="7" t="s">
        <v>34</v>
      </c>
      <c r="T37" s="7"/>
      <c r="U37" s="7" t="s">
        <v>35</v>
      </c>
      <c r="V37" s="9">
        <v>45815.07</v>
      </c>
      <c r="W37" s="9">
        <v>19755.46</v>
      </c>
      <c r="X37" s="9">
        <v>18243.560000000001</v>
      </c>
      <c r="Y37" s="7">
        <v>0</v>
      </c>
      <c r="Z37" s="9">
        <v>7816.05</v>
      </c>
    </row>
    <row r="38" spans="1:26" x14ac:dyDescent="0.35">
      <c r="A38" s="7" t="s">
        <v>27</v>
      </c>
      <c r="B38" s="7" t="s">
        <v>28</v>
      </c>
      <c r="C38" s="7" t="s">
        <v>50</v>
      </c>
      <c r="D38" s="7" t="s">
        <v>50</v>
      </c>
      <c r="E38" s="7" t="s">
        <v>42</v>
      </c>
      <c r="F38" s="7" t="s">
        <v>42</v>
      </c>
      <c r="G38" s="7">
        <v>2017</v>
      </c>
      <c r="H38" s="7" t="str">
        <f>CONCATENATE("14270346399")</f>
        <v>14270346399</v>
      </c>
      <c r="I38" s="7" t="s">
        <v>30</v>
      </c>
      <c r="J38" s="7" t="s">
        <v>31</v>
      </c>
      <c r="K38" s="7" t="str">
        <f>CONCATENATE("")</f>
        <v/>
      </c>
      <c r="L38" s="7" t="str">
        <f>CONCATENATE("19 19.2 6b")</f>
        <v>19 19.2 6b</v>
      </c>
      <c r="M38" s="7" t="str">
        <f>CONCATENATE("02624260416")</f>
        <v>02624260416</v>
      </c>
      <c r="N38" s="7" t="s">
        <v>122</v>
      </c>
      <c r="O38" s="7" t="s">
        <v>123</v>
      </c>
      <c r="P38" s="8">
        <v>44545</v>
      </c>
      <c r="Q38" s="7" t="s">
        <v>32</v>
      </c>
      <c r="R38" s="7" t="s">
        <v>46</v>
      </c>
      <c r="S38" s="7" t="s">
        <v>34</v>
      </c>
      <c r="T38" s="7"/>
      <c r="U38" s="7" t="s">
        <v>35</v>
      </c>
      <c r="V38" s="9">
        <v>83616.34</v>
      </c>
      <c r="W38" s="9">
        <v>36055.370000000003</v>
      </c>
      <c r="X38" s="9">
        <v>33296.03</v>
      </c>
      <c r="Y38" s="7">
        <v>0</v>
      </c>
      <c r="Z38" s="9">
        <v>14264.94</v>
      </c>
    </row>
    <row r="39" spans="1:26" x14ac:dyDescent="0.35">
      <c r="A39" s="7" t="s">
        <v>27</v>
      </c>
      <c r="B39" s="7" t="s">
        <v>28</v>
      </c>
      <c r="C39" s="7" t="s">
        <v>50</v>
      </c>
      <c r="D39" s="7" t="s">
        <v>50</v>
      </c>
      <c r="E39" s="7" t="s">
        <v>42</v>
      </c>
      <c r="F39" s="7" t="s">
        <v>42</v>
      </c>
      <c r="G39" s="7">
        <v>2017</v>
      </c>
      <c r="H39" s="7" t="str">
        <f>CONCATENATE("14270346357")</f>
        <v>14270346357</v>
      </c>
      <c r="I39" s="7" t="s">
        <v>30</v>
      </c>
      <c r="J39" s="7" t="s">
        <v>31</v>
      </c>
      <c r="K39" s="7" t="str">
        <f>CONCATENATE("")</f>
        <v/>
      </c>
      <c r="L39" s="7" t="str">
        <f>CONCATENATE("19 19.2 6b")</f>
        <v>19 19.2 6b</v>
      </c>
      <c r="M39" s="7" t="str">
        <f>CONCATENATE("00314800418")</f>
        <v>00314800418</v>
      </c>
      <c r="N39" s="7" t="s">
        <v>124</v>
      </c>
      <c r="O39" s="7" t="s">
        <v>123</v>
      </c>
      <c r="P39" s="8">
        <v>44545</v>
      </c>
      <c r="Q39" s="7" t="s">
        <v>32</v>
      </c>
      <c r="R39" s="7" t="s">
        <v>46</v>
      </c>
      <c r="S39" s="7" t="s">
        <v>34</v>
      </c>
      <c r="T39" s="7"/>
      <c r="U39" s="7" t="s">
        <v>35</v>
      </c>
      <c r="V39" s="9">
        <v>50559.96</v>
      </c>
      <c r="W39" s="9">
        <v>21801.45</v>
      </c>
      <c r="X39" s="9">
        <v>20132.98</v>
      </c>
      <c r="Y39" s="7">
        <v>0</v>
      </c>
      <c r="Z39" s="9">
        <v>8625.5300000000007</v>
      </c>
    </row>
    <row r="40" spans="1:26" x14ac:dyDescent="0.35">
      <c r="A40" s="7" t="s">
        <v>27</v>
      </c>
      <c r="B40" s="7" t="s">
        <v>28</v>
      </c>
      <c r="C40" s="7" t="s">
        <v>50</v>
      </c>
      <c r="D40" s="7" t="s">
        <v>50</v>
      </c>
      <c r="E40" s="7" t="s">
        <v>42</v>
      </c>
      <c r="F40" s="7" t="s">
        <v>42</v>
      </c>
      <c r="G40" s="7">
        <v>2017</v>
      </c>
      <c r="H40" s="7" t="str">
        <f>CONCATENATE("14270346373")</f>
        <v>14270346373</v>
      </c>
      <c r="I40" s="7" t="s">
        <v>30</v>
      </c>
      <c r="J40" s="7" t="s">
        <v>31</v>
      </c>
      <c r="K40" s="7" t="str">
        <f>CONCATENATE("")</f>
        <v/>
      </c>
      <c r="L40" s="7" t="str">
        <f>CONCATENATE("19 19.2 6b")</f>
        <v>19 19.2 6b</v>
      </c>
      <c r="M40" s="7" t="str">
        <f>CONCATENATE("80002490417")</f>
        <v>80002490417</v>
      </c>
      <c r="N40" s="7" t="s">
        <v>125</v>
      </c>
      <c r="O40" s="7" t="s">
        <v>123</v>
      </c>
      <c r="P40" s="8">
        <v>44545</v>
      </c>
      <c r="Q40" s="7" t="s">
        <v>32</v>
      </c>
      <c r="R40" s="7" t="s">
        <v>46</v>
      </c>
      <c r="S40" s="7" t="s">
        <v>34</v>
      </c>
      <c r="T40" s="7"/>
      <c r="U40" s="7" t="s">
        <v>35</v>
      </c>
      <c r="V40" s="9">
        <v>21392.84</v>
      </c>
      <c r="W40" s="9">
        <v>9224.59</v>
      </c>
      <c r="X40" s="9">
        <v>8518.6299999999992</v>
      </c>
      <c r="Y40" s="7">
        <v>0</v>
      </c>
      <c r="Z40" s="9">
        <v>3649.62</v>
      </c>
    </row>
    <row r="41" spans="1:26" x14ac:dyDescent="0.35">
      <c r="A41" s="7" t="s">
        <v>27</v>
      </c>
      <c r="B41" s="7" t="s">
        <v>28</v>
      </c>
      <c r="C41" s="7" t="s">
        <v>50</v>
      </c>
      <c r="D41" s="7" t="s">
        <v>50</v>
      </c>
      <c r="E41" s="7" t="s">
        <v>42</v>
      </c>
      <c r="F41" s="7" t="s">
        <v>42</v>
      </c>
      <c r="G41" s="7">
        <v>2017</v>
      </c>
      <c r="H41" s="7" t="str">
        <f>CONCATENATE("14270346365")</f>
        <v>14270346365</v>
      </c>
      <c r="I41" s="7" t="s">
        <v>30</v>
      </c>
      <c r="J41" s="7" t="s">
        <v>31</v>
      </c>
      <c r="K41" s="7" t="str">
        <f>CONCATENATE("")</f>
        <v/>
      </c>
      <c r="L41" s="7" t="str">
        <f>CONCATENATE("19 19.2 6b")</f>
        <v>19 19.2 6b</v>
      </c>
      <c r="M41" s="7" t="str">
        <f>CONCATENATE("81005240411")</f>
        <v>81005240411</v>
      </c>
      <c r="N41" s="7" t="s">
        <v>126</v>
      </c>
      <c r="O41" s="7" t="s">
        <v>123</v>
      </c>
      <c r="P41" s="8">
        <v>44545</v>
      </c>
      <c r="Q41" s="7" t="s">
        <v>32</v>
      </c>
      <c r="R41" s="7" t="s">
        <v>46</v>
      </c>
      <c r="S41" s="7" t="s">
        <v>34</v>
      </c>
      <c r="T41" s="7"/>
      <c r="U41" s="7" t="s">
        <v>35</v>
      </c>
      <c r="V41" s="9">
        <v>88109.8</v>
      </c>
      <c r="W41" s="9">
        <v>37992.949999999997</v>
      </c>
      <c r="X41" s="9">
        <v>35085.32</v>
      </c>
      <c r="Y41" s="7">
        <v>0</v>
      </c>
      <c r="Z41" s="9">
        <v>15031.53</v>
      </c>
    </row>
    <row r="42" spans="1:26" x14ac:dyDescent="0.35">
      <c r="A42" s="7" t="s">
        <v>27</v>
      </c>
      <c r="B42" s="7" t="s">
        <v>28</v>
      </c>
      <c r="C42" s="7" t="s">
        <v>50</v>
      </c>
      <c r="D42" s="7" t="s">
        <v>50</v>
      </c>
      <c r="E42" s="7" t="s">
        <v>42</v>
      </c>
      <c r="F42" s="7" t="s">
        <v>42</v>
      </c>
      <c r="G42" s="7">
        <v>2017</v>
      </c>
      <c r="H42" s="7" t="str">
        <f>CONCATENATE("14270346381")</f>
        <v>14270346381</v>
      </c>
      <c r="I42" s="7" t="s">
        <v>30</v>
      </c>
      <c r="J42" s="7" t="s">
        <v>31</v>
      </c>
      <c r="K42" s="7" t="str">
        <f>CONCATENATE("")</f>
        <v/>
      </c>
      <c r="L42" s="7" t="str">
        <f>CONCATENATE("19 19.2 6b")</f>
        <v>19 19.2 6b</v>
      </c>
      <c r="M42" s="7" t="str">
        <f>CONCATENATE("00129020418")</f>
        <v>00129020418</v>
      </c>
      <c r="N42" s="7" t="s">
        <v>127</v>
      </c>
      <c r="O42" s="7" t="s">
        <v>123</v>
      </c>
      <c r="P42" s="8">
        <v>44545</v>
      </c>
      <c r="Q42" s="7" t="s">
        <v>32</v>
      </c>
      <c r="R42" s="7" t="s">
        <v>46</v>
      </c>
      <c r="S42" s="7" t="s">
        <v>34</v>
      </c>
      <c r="T42" s="7"/>
      <c r="U42" s="7" t="s">
        <v>35</v>
      </c>
      <c r="V42" s="9">
        <v>21584.14</v>
      </c>
      <c r="W42" s="9">
        <v>9307.08</v>
      </c>
      <c r="X42" s="9">
        <v>8594.7999999999993</v>
      </c>
      <c r="Y42" s="7">
        <v>0</v>
      </c>
      <c r="Z42" s="9">
        <v>3682.26</v>
      </c>
    </row>
    <row r="43" spans="1:26" x14ac:dyDescent="0.35">
      <c r="A43" s="7" t="s">
        <v>27</v>
      </c>
      <c r="B43" s="7" t="s">
        <v>28</v>
      </c>
      <c r="C43" s="7" t="s">
        <v>50</v>
      </c>
      <c r="D43" s="7" t="s">
        <v>55</v>
      </c>
      <c r="E43" s="7" t="s">
        <v>42</v>
      </c>
      <c r="F43" s="7" t="s">
        <v>42</v>
      </c>
      <c r="G43" s="7">
        <v>2017</v>
      </c>
      <c r="H43" s="7" t="str">
        <f>CONCATENATE("14270341259")</f>
        <v>14270341259</v>
      </c>
      <c r="I43" s="7" t="s">
        <v>30</v>
      </c>
      <c r="J43" s="7" t="s">
        <v>31</v>
      </c>
      <c r="K43" s="7" t="str">
        <f>CONCATENATE("")</f>
        <v/>
      </c>
      <c r="L43" s="7" t="str">
        <f>CONCATENATE("4 4.1 2a")</f>
        <v>4 4.1 2a</v>
      </c>
      <c r="M43" s="7" t="str">
        <f>CONCATENATE("LVEDVD84L17G479I")</f>
        <v>LVEDVD84L17G479I</v>
      </c>
      <c r="N43" s="7" t="s">
        <v>128</v>
      </c>
      <c r="O43" s="7" t="s">
        <v>129</v>
      </c>
      <c r="P43" s="8">
        <v>44543</v>
      </c>
      <c r="Q43" s="7" t="s">
        <v>32</v>
      </c>
      <c r="R43" s="7" t="s">
        <v>33</v>
      </c>
      <c r="S43" s="7" t="s">
        <v>34</v>
      </c>
      <c r="T43" s="7"/>
      <c r="U43" s="7" t="s">
        <v>35</v>
      </c>
      <c r="V43" s="9">
        <v>80309.25</v>
      </c>
      <c r="W43" s="9">
        <v>34629.35</v>
      </c>
      <c r="X43" s="9">
        <v>31979.14</v>
      </c>
      <c r="Y43" s="7">
        <v>0</v>
      </c>
      <c r="Z43" s="9">
        <v>13700.76</v>
      </c>
    </row>
    <row r="44" spans="1:26" x14ac:dyDescent="0.35">
      <c r="A44" s="7" t="s">
        <v>27</v>
      </c>
      <c r="B44" s="7" t="s">
        <v>28</v>
      </c>
      <c r="C44" s="7" t="s">
        <v>50</v>
      </c>
      <c r="D44" s="7" t="s">
        <v>55</v>
      </c>
      <c r="E44" s="7" t="s">
        <v>42</v>
      </c>
      <c r="F44" s="7" t="s">
        <v>42</v>
      </c>
      <c r="G44" s="7">
        <v>2017</v>
      </c>
      <c r="H44" s="7" t="str">
        <f>CONCATENATE("14270342927")</f>
        <v>14270342927</v>
      </c>
      <c r="I44" s="7" t="s">
        <v>30</v>
      </c>
      <c r="J44" s="7" t="s">
        <v>31</v>
      </c>
      <c r="K44" s="7" t="str">
        <f>CONCATENATE("")</f>
        <v/>
      </c>
      <c r="L44" s="7" t="str">
        <f>CONCATENATE("4 4.1 2a")</f>
        <v>4 4.1 2a</v>
      </c>
      <c r="M44" s="7" t="str">
        <f>CONCATENATE("PRNMRA44B07D488Z")</f>
        <v>PRNMRA44B07D488Z</v>
      </c>
      <c r="N44" s="7" t="s">
        <v>130</v>
      </c>
      <c r="O44" s="7" t="s">
        <v>129</v>
      </c>
      <c r="P44" s="8">
        <v>44543</v>
      </c>
      <c r="Q44" s="7" t="s">
        <v>32</v>
      </c>
      <c r="R44" s="7" t="s">
        <v>33</v>
      </c>
      <c r="S44" s="7" t="s">
        <v>34</v>
      </c>
      <c r="T44" s="7"/>
      <c r="U44" s="7" t="s">
        <v>35</v>
      </c>
      <c r="V44" s="9">
        <v>36809.43</v>
      </c>
      <c r="W44" s="9">
        <v>15872.23</v>
      </c>
      <c r="X44" s="9">
        <v>14657.52</v>
      </c>
      <c r="Y44" s="7">
        <v>0</v>
      </c>
      <c r="Z44" s="9">
        <v>6279.68</v>
      </c>
    </row>
    <row r="45" spans="1:26" x14ac:dyDescent="0.35">
      <c r="A45" s="7" t="s">
        <v>27</v>
      </c>
      <c r="B45" s="7" t="s">
        <v>28</v>
      </c>
      <c r="C45" s="7" t="s">
        <v>50</v>
      </c>
      <c r="D45" s="7" t="s">
        <v>59</v>
      </c>
      <c r="E45" s="7" t="s">
        <v>42</v>
      </c>
      <c r="F45" s="7" t="s">
        <v>42</v>
      </c>
      <c r="G45" s="7">
        <v>2017</v>
      </c>
      <c r="H45" s="7" t="str">
        <f>CONCATENATE("14270345342")</f>
        <v>14270345342</v>
      </c>
      <c r="I45" s="7" t="s">
        <v>30</v>
      </c>
      <c r="J45" s="7" t="s">
        <v>31</v>
      </c>
      <c r="K45" s="7" t="str">
        <f>CONCATENATE("")</f>
        <v/>
      </c>
      <c r="L45" s="7" t="str">
        <f>CONCATENATE("4 4.1 2a")</f>
        <v>4 4.1 2a</v>
      </c>
      <c r="M45" s="7" t="str">
        <f>CONCATENATE("01927130433")</f>
        <v>01927130433</v>
      </c>
      <c r="N45" s="7" t="s">
        <v>131</v>
      </c>
      <c r="O45" s="7" t="s">
        <v>132</v>
      </c>
      <c r="P45" s="8">
        <v>44543</v>
      </c>
      <c r="Q45" s="7" t="s">
        <v>32</v>
      </c>
      <c r="R45" s="7" t="s">
        <v>33</v>
      </c>
      <c r="S45" s="7" t="s">
        <v>34</v>
      </c>
      <c r="T45" s="7"/>
      <c r="U45" s="7" t="s">
        <v>35</v>
      </c>
      <c r="V45" s="9">
        <v>97993.66</v>
      </c>
      <c r="W45" s="9">
        <v>42254.87</v>
      </c>
      <c r="X45" s="9">
        <v>39021.08</v>
      </c>
      <c r="Y45" s="7">
        <v>0</v>
      </c>
      <c r="Z45" s="9">
        <v>16717.71</v>
      </c>
    </row>
    <row r="46" spans="1:26" x14ac:dyDescent="0.35">
      <c r="A46" s="7" t="s">
        <v>27</v>
      </c>
      <c r="B46" s="7" t="s">
        <v>28</v>
      </c>
      <c r="C46" s="7" t="s">
        <v>50</v>
      </c>
      <c r="D46" s="7" t="s">
        <v>55</v>
      </c>
      <c r="E46" s="7" t="s">
        <v>41</v>
      </c>
      <c r="F46" s="7" t="s">
        <v>98</v>
      </c>
      <c r="G46" s="7">
        <v>2017</v>
      </c>
      <c r="H46" s="7" t="str">
        <f>CONCATENATE("14270340939")</f>
        <v>14270340939</v>
      </c>
      <c r="I46" s="7" t="s">
        <v>30</v>
      </c>
      <c r="J46" s="7" t="s">
        <v>31</v>
      </c>
      <c r="K46" s="7" t="str">
        <f>CONCATENATE("")</f>
        <v/>
      </c>
      <c r="L46" s="7" t="str">
        <f>CONCATENATE("21 21.1 2a")</f>
        <v>21 21.1 2a</v>
      </c>
      <c r="M46" s="7" t="str">
        <f>CONCATENATE("BRCTZN61P58C830P")</f>
        <v>BRCTZN61P58C830P</v>
      </c>
      <c r="N46" s="7" t="s">
        <v>133</v>
      </c>
      <c r="O46" s="7" t="s">
        <v>93</v>
      </c>
      <c r="P46" s="8">
        <v>44540</v>
      </c>
      <c r="Q46" s="7" t="s">
        <v>32</v>
      </c>
      <c r="R46" s="7" t="s">
        <v>33</v>
      </c>
      <c r="S46" s="7" t="s">
        <v>34</v>
      </c>
      <c r="T46" s="7"/>
      <c r="U46" s="7" t="s">
        <v>35</v>
      </c>
      <c r="V46" s="9">
        <v>7000</v>
      </c>
      <c r="W46" s="9">
        <v>3018.4</v>
      </c>
      <c r="X46" s="9">
        <v>2787.4</v>
      </c>
      <c r="Y46" s="7">
        <v>0</v>
      </c>
      <c r="Z46" s="9">
        <v>1194.2</v>
      </c>
    </row>
    <row r="47" spans="1:26" x14ac:dyDescent="0.35">
      <c r="A47" s="7" t="s">
        <v>27</v>
      </c>
      <c r="B47" s="7" t="s">
        <v>28</v>
      </c>
      <c r="C47" s="7" t="s">
        <v>50</v>
      </c>
      <c r="D47" s="7" t="s">
        <v>50</v>
      </c>
      <c r="E47" s="7" t="s">
        <v>42</v>
      </c>
      <c r="F47" s="7" t="s">
        <v>42</v>
      </c>
      <c r="G47" s="7">
        <v>2017</v>
      </c>
      <c r="H47" s="7" t="str">
        <f>CONCATENATE("14270341150")</f>
        <v>14270341150</v>
      </c>
      <c r="I47" s="7" t="s">
        <v>30</v>
      </c>
      <c r="J47" s="7" t="s">
        <v>31</v>
      </c>
      <c r="K47" s="7" t="str">
        <f>CONCATENATE("")</f>
        <v/>
      </c>
      <c r="L47" s="7" t="str">
        <f>CONCATENATE("19 19.2 6b")</f>
        <v>19 19.2 6b</v>
      </c>
      <c r="M47" s="7" t="str">
        <f>CONCATENATE("81001890441")</f>
        <v>81001890441</v>
      </c>
      <c r="N47" s="7" t="s">
        <v>134</v>
      </c>
      <c r="O47" s="7" t="s">
        <v>135</v>
      </c>
      <c r="P47" s="8">
        <v>44540</v>
      </c>
      <c r="Q47" s="7" t="s">
        <v>32</v>
      </c>
      <c r="R47" s="7" t="s">
        <v>46</v>
      </c>
      <c r="S47" s="7" t="s">
        <v>34</v>
      </c>
      <c r="T47" s="7"/>
      <c r="U47" s="7" t="s">
        <v>35</v>
      </c>
      <c r="V47" s="9">
        <v>20990.37</v>
      </c>
      <c r="W47" s="9">
        <v>9051.0499999999993</v>
      </c>
      <c r="X47" s="9">
        <v>8358.3700000000008</v>
      </c>
      <c r="Y47" s="7">
        <v>0</v>
      </c>
      <c r="Z47" s="9">
        <v>3580.95</v>
      </c>
    </row>
    <row r="48" spans="1:26" x14ac:dyDescent="0.35">
      <c r="A48" s="7" t="s">
        <v>27</v>
      </c>
      <c r="B48" s="7" t="s">
        <v>28</v>
      </c>
      <c r="C48" s="7" t="s">
        <v>50</v>
      </c>
      <c r="D48" s="7" t="s">
        <v>55</v>
      </c>
      <c r="E48" s="7" t="s">
        <v>42</v>
      </c>
      <c r="F48" s="7" t="s">
        <v>42</v>
      </c>
      <c r="G48" s="7">
        <v>2017</v>
      </c>
      <c r="H48" s="7" t="str">
        <f>CONCATENATE("14270337109")</f>
        <v>14270337109</v>
      </c>
      <c r="I48" s="7" t="s">
        <v>30</v>
      </c>
      <c r="J48" s="7" t="s">
        <v>31</v>
      </c>
      <c r="K48" s="7" t="str">
        <f>CONCATENATE("")</f>
        <v/>
      </c>
      <c r="L48" s="7" t="str">
        <f>CONCATENATE("4 4.1 2a")</f>
        <v>4 4.1 2a</v>
      </c>
      <c r="M48" s="7" t="str">
        <f>CONCATENATE("00600040414")</f>
        <v>00600040414</v>
      </c>
      <c r="N48" s="7" t="s">
        <v>136</v>
      </c>
      <c r="O48" s="7" t="s">
        <v>84</v>
      </c>
      <c r="P48" s="8">
        <v>44543</v>
      </c>
      <c r="Q48" s="7" t="s">
        <v>32</v>
      </c>
      <c r="R48" s="7" t="s">
        <v>33</v>
      </c>
      <c r="S48" s="7" t="s">
        <v>34</v>
      </c>
      <c r="T48" s="7"/>
      <c r="U48" s="7" t="s">
        <v>35</v>
      </c>
      <c r="V48" s="9">
        <v>65206.26</v>
      </c>
      <c r="W48" s="9">
        <v>28116.94</v>
      </c>
      <c r="X48" s="9">
        <v>25965.13</v>
      </c>
      <c r="Y48" s="7">
        <v>0</v>
      </c>
      <c r="Z48" s="9">
        <v>11124.19</v>
      </c>
    </row>
    <row r="49" spans="1:26" x14ac:dyDescent="0.35">
      <c r="A49" s="7" t="s">
        <v>27</v>
      </c>
      <c r="B49" s="7" t="s">
        <v>43</v>
      </c>
      <c r="C49" s="7" t="s">
        <v>50</v>
      </c>
      <c r="D49" s="7" t="s">
        <v>95</v>
      </c>
      <c r="E49" s="7" t="s">
        <v>38</v>
      </c>
      <c r="F49" s="7" t="s">
        <v>137</v>
      </c>
      <c r="G49" s="7">
        <v>2021</v>
      </c>
      <c r="H49" s="7" t="str">
        <f>CONCATENATE("14240335753")</f>
        <v>14240335753</v>
      </c>
      <c r="I49" s="7" t="s">
        <v>30</v>
      </c>
      <c r="J49" s="7" t="s">
        <v>31</v>
      </c>
      <c r="K49" s="7" t="str">
        <f>CONCATENATE("")</f>
        <v/>
      </c>
      <c r="L49" s="7" t="str">
        <f>CONCATENATE("11 11.2 4b")</f>
        <v>11 11.2 4b</v>
      </c>
      <c r="M49" s="7" t="str">
        <f>CONCATENATE("MSCFST76H30B474R")</f>
        <v>MSCFST76H30B474R</v>
      </c>
      <c r="N49" s="7" t="s">
        <v>138</v>
      </c>
      <c r="O49" s="7" t="s">
        <v>139</v>
      </c>
      <c r="P49" s="8">
        <v>44545</v>
      </c>
      <c r="Q49" s="7" t="s">
        <v>32</v>
      </c>
      <c r="R49" s="7" t="s">
        <v>33</v>
      </c>
      <c r="S49" s="7" t="s">
        <v>34</v>
      </c>
      <c r="T49" s="7"/>
      <c r="U49" s="7" t="s">
        <v>35</v>
      </c>
      <c r="V49" s="9">
        <v>30871.66</v>
      </c>
      <c r="W49" s="9">
        <v>13311.86</v>
      </c>
      <c r="X49" s="9">
        <v>12293.1</v>
      </c>
      <c r="Y49" s="7">
        <v>0</v>
      </c>
      <c r="Z49" s="9">
        <v>5266.7</v>
      </c>
    </row>
    <row r="50" spans="1:26" x14ac:dyDescent="0.35">
      <c r="A50" s="7" t="s">
        <v>27</v>
      </c>
      <c r="B50" s="7" t="s">
        <v>43</v>
      </c>
      <c r="C50" s="7" t="s">
        <v>50</v>
      </c>
      <c r="D50" s="7" t="s">
        <v>95</v>
      </c>
      <c r="E50" s="7" t="s">
        <v>41</v>
      </c>
      <c r="F50" s="7" t="s">
        <v>140</v>
      </c>
      <c r="G50" s="7">
        <v>2021</v>
      </c>
      <c r="H50" s="7" t="str">
        <f>CONCATENATE("14240789447")</f>
        <v>14240789447</v>
      </c>
      <c r="I50" s="7" t="s">
        <v>30</v>
      </c>
      <c r="J50" s="7" t="s">
        <v>31</v>
      </c>
      <c r="K50" s="7" t="str">
        <f>CONCATENATE("")</f>
        <v/>
      </c>
      <c r="L50" s="7" t="str">
        <f>CONCATENATE("11 11.1 4b")</f>
        <v>11 11.1 4b</v>
      </c>
      <c r="M50" s="7" t="str">
        <f>CONCATENATE("SLVFBA73D20B474Q")</f>
        <v>SLVFBA73D20B474Q</v>
      </c>
      <c r="N50" s="7" t="s">
        <v>141</v>
      </c>
      <c r="O50" s="7" t="s">
        <v>139</v>
      </c>
      <c r="P50" s="8">
        <v>44545</v>
      </c>
      <c r="Q50" s="7" t="s">
        <v>32</v>
      </c>
      <c r="R50" s="7" t="s">
        <v>33</v>
      </c>
      <c r="S50" s="7" t="s">
        <v>34</v>
      </c>
      <c r="T50" s="7"/>
      <c r="U50" s="7" t="s">
        <v>35</v>
      </c>
      <c r="V50" s="9">
        <v>3070.98</v>
      </c>
      <c r="W50" s="9">
        <v>1324.21</v>
      </c>
      <c r="X50" s="9">
        <v>1222.8599999999999</v>
      </c>
      <c r="Y50" s="7">
        <v>0</v>
      </c>
      <c r="Z50" s="7">
        <v>523.91</v>
      </c>
    </row>
    <row r="51" spans="1:26" x14ac:dyDescent="0.35">
      <c r="A51" s="7" t="s">
        <v>27</v>
      </c>
      <c r="B51" s="7" t="s">
        <v>43</v>
      </c>
      <c r="C51" s="7" t="s">
        <v>50</v>
      </c>
      <c r="D51" s="7" t="s">
        <v>95</v>
      </c>
      <c r="E51" s="7" t="s">
        <v>41</v>
      </c>
      <c r="F51" s="7" t="s">
        <v>140</v>
      </c>
      <c r="G51" s="7">
        <v>2021</v>
      </c>
      <c r="H51" s="7" t="str">
        <f>CONCATENATE("14240789595")</f>
        <v>14240789595</v>
      </c>
      <c r="I51" s="7" t="s">
        <v>30</v>
      </c>
      <c r="J51" s="7" t="s">
        <v>31</v>
      </c>
      <c r="K51" s="7" t="str">
        <f>CONCATENATE("")</f>
        <v/>
      </c>
      <c r="L51" s="7" t="str">
        <f>CONCATENATE("11 11.2 4b")</f>
        <v>11 11.2 4b</v>
      </c>
      <c r="M51" s="7" t="str">
        <f>CONCATENATE("SLVFBA73D20B474Q")</f>
        <v>SLVFBA73D20B474Q</v>
      </c>
      <c r="N51" s="7" t="s">
        <v>141</v>
      </c>
      <c r="O51" s="7" t="s">
        <v>139</v>
      </c>
      <c r="P51" s="8">
        <v>44545</v>
      </c>
      <c r="Q51" s="7" t="s">
        <v>32</v>
      </c>
      <c r="R51" s="7" t="s">
        <v>33</v>
      </c>
      <c r="S51" s="7" t="s">
        <v>34</v>
      </c>
      <c r="T51" s="7"/>
      <c r="U51" s="7" t="s">
        <v>35</v>
      </c>
      <c r="V51" s="9">
        <v>2033.44</v>
      </c>
      <c r="W51" s="7">
        <v>876.82</v>
      </c>
      <c r="X51" s="7">
        <v>809.72</v>
      </c>
      <c r="Y51" s="7">
        <v>0</v>
      </c>
      <c r="Z51" s="7">
        <v>346.9</v>
      </c>
    </row>
    <row r="52" spans="1:26" x14ac:dyDescent="0.35">
      <c r="A52" s="7" t="s">
        <v>27</v>
      </c>
      <c r="B52" s="7" t="s">
        <v>43</v>
      </c>
      <c r="C52" s="7" t="s">
        <v>50</v>
      </c>
      <c r="D52" s="7" t="s">
        <v>95</v>
      </c>
      <c r="E52" s="7" t="s">
        <v>41</v>
      </c>
      <c r="F52" s="7" t="s">
        <v>142</v>
      </c>
      <c r="G52" s="7">
        <v>2021</v>
      </c>
      <c r="H52" s="7" t="str">
        <f>CONCATENATE("14240425687")</f>
        <v>14240425687</v>
      </c>
      <c r="I52" s="7" t="s">
        <v>30</v>
      </c>
      <c r="J52" s="7" t="s">
        <v>31</v>
      </c>
      <c r="K52" s="7" t="str">
        <f>CONCATENATE("")</f>
        <v/>
      </c>
      <c r="L52" s="7" t="str">
        <f>CONCATENATE("11 11.2 4b")</f>
        <v>11 11.2 4b</v>
      </c>
      <c r="M52" s="7" t="str">
        <f>CONCATENATE("VCRLBT69C58L191T")</f>
        <v>VCRLBT69C58L191T</v>
      </c>
      <c r="N52" s="7" t="s">
        <v>143</v>
      </c>
      <c r="O52" s="7" t="s">
        <v>139</v>
      </c>
      <c r="P52" s="8">
        <v>44545</v>
      </c>
      <c r="Q52" s="7" t="s">
        <v>32</v>
      </c>
      <c r="R52" s="7" t="s">
        <v>33</v>
      </c>
      <c r="S52" s="7" t="s">
        <v>34</v>
      </c>
      <c r="T52" s="7"/>
      <c r="U52" s="7" t="s">
        <v>35</v>
      </c>
      <c r="V52" s="9">
        <v>2676.27</v>
      </c>
      <c r="W52" s="9">
        <v>1154.01</v>
      </c>
      <c r="X52" s="9">
        <v>1065.69</v>
      </c>
      <c r="Y52" s="7">
        <v>0</v>
      </c>
      <c r="Z52" s="7">
        <v>456.57</v>
      </c>
    </row>
    <row r="53" spans="1:26" x14ac:dyDescent="0.35">
      <c r="A53" s="7" t="s">
        <v>27</v>
      </c>
      <c r="B53" s="7" t="s">
        <v>43</v>
      </c>
      <c r="C53" s="7" t="s">
        <v>50</v>
      </c>
      <c r="D53" s="7" t="s">
        <v>95</v>
      </c>
      <c r="E53" s="7" t="s">
        <v>41</v>
      </c>
      <c r="F53" s="7" t="s">
        <v>144</v>
      </c>
      <c r="G53" s="7">
        <v>2021</v>
      </c>
      <c r="H53" s="7" t="str">
        <f>CONCATENATE("14240392291")</f>
        <v>14240392291</v>
      </c>
      <c r="I53" s="7" t="s">
        <v>30</v>
      </c>
      <c r="J53" s="7" t="s">
        <v>31</v>
      </c>
      <c r="K53" s="7" t="str">
        <f>CONCATENATE("")</f>
        <v/>
      </c>
      <c r="L53" s="7" t="str">
        <f>CONCATENATE("11 11.2 4b")</f>
        <v>11 11.2 4b</v>
      </c>
      <c r="M53" s="7" t="str">
        <f>CONCATENATE("PSCMGH95D50B474V")</f>
        <v>PSCMGH95D50B474V</v>
      </c>
      <c r="N53" s="7" t="s">
        <v>145</v>
      </c>
      <c r="O53" s="7" t="s">
        <v>139</v>
      </c>
      <c r="P53" s="8">
        <v>44545</v>
      </c>
      <c r="Q53" s="7" t="s">
        <v>32</v>
      </c>
      <c r="R53" s="7" t="s">
        <v>33</v>
      </c>
      <c r="S53" s="7" t="s">
        <v>34</v>
      </c>
      <c r="T53" s="7"/>
      <c r="U53" s="7" t="s">
        <v>35</v>
      </c>
      <c r="V53" s="9">
        <v>1848</v>
      </c>
      <c r="W53" s="7">
        <v>796.86</v>
      </c>
      <c r="X53" s="7">
        <v>735.87</v>
      </c>
      <c r="Y53" s="7">
        <v>0</v>
      </c>
      <c r="Z53" s="7">
        <v>315.27</v>
      </c>
    </row>
    <row r="54" spans="1:26" x14ac:dyDescent="0.35">
      <c r="A54" s="7" t="s">
        <v>27</v>
      </c>
      <c r="B54" s="7" t="s">
        <v>43</v>
      </c>
      <c r="C54" s="7" t="s">
        <v>50</v>
      </c>
      <c r="D54" s="7" t="s">
        <v>95</v>
      </c>
      <c r="E54" s="7" t="s">
        <v>41</v>
      </c>
      <c r="F54" s="7" t="s">
        <v>144</v>
      </c>
      <c r="G54" s="7">
        <v>2021</v>
      </c>
      <c r="H54" s="7" t="str">
        <f>CONCATENATE("14240391889")</f>
        <v>14240391889</v>
      </c>
      <c r="I54" s="7" t="s">
        <v>30</v>
      </c>
      <c r="J54" s="7" t="s">
        <v>31</v>
      </c>
      <c r="K54" s="7" t="str">
        <f>CONCATENATE("")</f>
        <v/>
      </c>
      <c r="L54" s="7" t="str">
        <f>CONCATENATE("11 11.2 4b")</f>
        <v>11 11.2 4b</v>
      </c>
      <c r="M54" s="7" t="str">
        <f>CONCATENATE("PRSMHL86S54I156V")</f>
        <v>PRSMHL86S54I156V</v>
      </c>
      <c r="N54" s="7" t="s">
        <v>146</v>
      </c>
      <c r="O54" s="7" t="s">
        <v>139</v>
      </c>
      <c r="P54" s="8">
        <v>44545</v>
      </c>
      <c r="Q54" s="7" t="s">
        <v>32</v>
      </c>
      <c r="R54" s="7" t="s">
        <v>33</v>
      </c>
      <c r="S54" s="7" t="s">
        <v>34</v>
      </c>
      <c r="T54" s="7"/>
      <c r="U54" s="7" t="s">
        <v>35</v>
      </c>
      <c r="V54" s="9">
        <v>11510.69</v>
      </c>
      <c r="W54" s="9">
        <v>4963.41</v>
      </c>
      <c r="X54" s="9">
        <v>4583.5600000000004</v>
      </c>
      <c r="Y54" s="7">
        <v>0</v>
      </c>
      <c r="Z54" s="9">
        <v>1963.72</v>
      </c>
    </row>
    <row r="55" spans="1:26" x14ac:dyDescent="0.35">
      <c r="A55" s="7" t="s">
        <v>27</v>
      </c>
      <c r="B55" s="7" t="s">
        <v>43</v>
      </c>
      <c r="C55" s="7" t="s">
        <v>50</v>
      </c>
      <c r="D55" s="7" t="s">
        <v>95</v>
      </c>
      <c r="E55" s="7" t="s">
        <v>29</v>
      </c>
      <c r="F55" s="7" t="s">
        <v>147</v>
      </c>
      <c r="G55" s="7">
        <v>2021</v>
      </c>
      <c r="H55" s="7" t="str">
        <f>CONCATENATE("14241099499")</f>
        <v>14241099499</v>
      </c>
      <c r="I55" s="7" t="s">
        <v>30</v>
      </c>
      <c r="J55" s="7" t="s">
        <v>31</v>
      </c>
      <c r="K55" s="7" t="str">
        <f>CONCATENATE("")</f>
        <v/>
      </c>
      <c r="L55" s="7" t="str">
        <f>CONCATENATE("11 11.1 4b")</f>
        <v>11 11.1 4b</v>
      </c>
      <c r="M55" s="7" t="str">
        <f>CONCATENATE("CMPLRI86A52I156H")</f>
        <v>CMPLRI86A52I156H</v>
      </c>
      <c r="N55" s="7" t="s">
        <v>148</v>
      </c>
      <c r="O55" s="7" t="s">
        <v>139</v>
      </c>
      <c r="P55" s="8">
        <v>44545</v>
      </c>
      <c r="Q55" s="7" t="s">
        <v>32</v>
      </c>
      <c r="R55" s="7" t="s">
        <v>33</v>
      </c>
      <c r="S55" s="7" t="s">
        <v>34</v>
      </c>
      <c r="T55" s="7"/>
      <c r="U55" s="7" t="s">
        <v>35</v>
      </c>
      <c r="V55" s="9">
        <v>43636.7</v>
      </c>
      <c r="W55" s="9">
        <v>18816.150000000001</v>
      </c>
      <c r="X55" s="9">
        <v>17376.13</v>
      </c>
      <c r="Y55" s="7">
        <v>0</v>
      </c>
      <c r="Z55" s="9">
        <v>7444.42</v>
      </c>
    </row>
    <row r="56" spans="1:26" x14ac:dyDescent="0.35">
      <c r="A56" s="7" t="s">
        <v>27</v>
      </c>
      <c r="B56" s="7" t="s">
        <v>43</v>
      </c>
      <c r="C56" s="7" t="s">
        <v>50</v>
      </c>
      <c r="D56" s="7" t="s">
        <v>95</v>
      </c>
      <c r="E56" s="7" t="s">
        <v>41</v>
      </c>
      <c r="F56" s="7" t="s">
        <v>149</v>
      </c>
      <c r="G56" s="7">
        <v>2021</v>
      </c>
      <c r="H56" s="7" t="str">
        <f>CONCATENATE("14240591215")</f>
        <v>14240591215</v>
      </c>
      <c r="I56" s="7" t="s">
        <v>30</v>
      </c>
      <c r="J56" s="7" t="s">
        <v>31</v>
      </c>
      <c r="K56" s="7" t="str">
        <f>CONCATENATE("")</f>
        <v/>
      </c>
      <c r="L56" s="7" t="str">
        <f>CONCATENATE("11 11.2 4b")</f>
        <v>11 11.2 4b</v>
      </c>
      <c r="M56" s="7" t="str">
        <f>CONCATENATE("SCRMRA30B56C203F")</f>
        <v>SCRMRA30B56C203F</v>
      </c>
      <c r="N56" s="7" t="s">
        <v>150</v>
      </c>
      <c r="O56" s="7" t="s">
        <v>139</v>
      </c>
      <c r="P56" s="8">
        <v>44545</v>
      </c>
      <c r="Q56" s="7" t="s">
        <v>32</v>
      </c>
      <c r="R56" s="7" t="s">
        <v>33</v>
      </c>
      <c r="S56" s="7" t="s">
        <v>34</v>
      </c>
      <c r="T56" s="7"/>
      <c r="U56" s="7" t="s">
        <v>35</v>
      </c>
      <c r="V56" s="9">
        <v>39170.239999999998</v>
      </c>
      <c r="W56" s="9">
        <v>16890.21</v>
      </c>
      <c r="X56" s="9">
        <v>15597.59</v>
      </c>
      <c r="Y56" s="7">
        <v>0</v>
      </c>
      <c r="Z56" s="9">
        <v>6682.44</v>
      </c>
    </row>
    <row r="57" spans="1:26" x14ac:dyDescent="0.35">
      <c r="A57" s="7" t="s">
        <v>27</v>
      </c>
      <c r="B57" s="7" t="s">
        <v>43</v>
      </c>
      <c r="C57" s="7" t="s">
        <v>50</v>
      </c>
      <c r="D57" s="7" t="s">
        <v>95</v>
      </c>
      <c r="E57" s="7" t="s">
        <v>29</v>
      </c>
      <c r="F57" s="7" t="s">
        <v>147</v>
      </c>
      <c r="G57" s="7">
        <v>2021</v>
      </c>
      <c r="H57" s="7" t="str">
        <f>CONCATENATE("14241230532")</f>
        <v>14241230532</v>
      </c>
      <c r="I57" s="7" t="s">
        <v>30</v>
      </c>
      <c r="J57" s="7" t="s">
        <v>31</v>
      </c>
      <c r="K57" s="7" t="str">
        <f>CONCATENATE("")</f>
        <v/>
      </c>
      <c r="L57" s="7" t="str">
        <f>CONCATENATE("11 11.2 4b")</f>
        <v>11 11.2 4b</v>
      </c>
      <c r="M57" s="7" t="str">
        <f>CONCATENATE("MRCRCR99H13A271Q")</f>
        <v>MRCRCR99H13A271Q</v>
      </c>
      <c r="N57" s="7" t="s">
        <v>151</v>
      </c>
      <c r="O57" s="7" t="s">
        <v>139</v>
      </c>
      <c r="P57" s="8">
        <v>44545</v>
      </c>
      <c r="Q57" s="7" t="s">
        <v>32</v>
      </c>
      <c r="R57" s="7" t="s">
        <v>33</v>
      </c>
      <c r="S57" s="7" t="s">
        <v>34</v>
      </c>
      <c r="T57" s="7"/>
      <c r="U57" s="7" t="s">
        <v>35</v>
      </c>
      <c r="V57" s="9">
        <v>8988.84</v>
      </c>
      <c r="W57" s="9">
        <v>3875.99</v>
      </c>
      <c r="X57" s="9">
        <v>3579.36</v>
      </c>
      <c r="Y57" s="7">
        <v>0</v>
      </c>
      <c r="Z57" s="9">
        <v>1533.49</v>
      </c>
    </row>
    <row r="58" spans="1:26" x14ac:dyDescent="0.35">
      <c r="A58" s="7" t="s">
        <v>27</v>
      </c>
      <c r="B58" s="7" t="s">
        <v>43</v>
      </c>
      <c r="C58" s="7" t="s">
        <v>50</v>
      </c>
      <c r="D58" s="7" t="s">
        <v>95</v>
      </c>
      <c r="E58" s="7" t="s">
        <v>29</v>
      </c>
      <c r="F58" s="7" t="s">
        <v>147</v>
      </c>
      <c r="G58" s="7">
        <v>2021</v>
      </c>
      <c r="H58" s="7" t="str">
        <f>CONCATENATE("14240994971")</f>
        <v>14240994971</v>
      </c>
      <c r="I58" s="7" t="s">
        <v>30</v>
      </c>
      <c r="J58" s="7" t="s">
        <v>31</v>
      </c>
      <c r="K58" s="7" t="str">
        <f>CONCATENATE("")</f>
        <v/>
      </c>
      <c r="L58" s="7" t="str">
        <f>CONCATENATE("11 11.2 4b")</f>
        <v>11 11.2 4b</v>
      </c>
      <c r="M58" s="7" t="str">
        <f>CONCATENATE("SNTFNC78R54D653N")</f>
        <v>SNTFNC78R54D653N</v>
      </c>
      <c r="N58" s="7" t="s">
        <v>152</v>
      </c>
      <c r="O58" s="7" t="s">
        <v>139</v>
      </c>
      <c r="P58" s="8">
        <v>44545</v>
      </c>
      <c r="Q58" s="7" t="s">
        <v>32</v>
      </c>
      <c r="R58" s="7" t="s">
        <v>33</v>
      </c>
      <c r="S58" s="7" t="s">
        <v>34</v>
      </c>
      <c r="T58" s="7"/>
      <c r="U58" s="7" t="s">
        <v>35</v>
      </c>
      <c r="V58" s="9">
        <v>3706.05</v>
      </c>
      <c r="W58" s="9">
        <v>1598.05</v>
      </c>
      <c r="X58" s="9">
        <v>1475.75</v>
      </c>
      <c r="Y58" s="7">
        <v>0</v>
      </c>
      <c r="Z58" s="7">
        <v>632.25</v>
      </c>
    </row>
    <row r="59" spans="1:26" x14ac:dyDescent="0.35">
      <c r="A59" s="7" t="s">
        <v>27</v>
      </c>
      <c r="B59" s="7" t="s">
        <v>43</v>
      </c>
      <c r="C59" s="7" t="s">
        <v>50</v>
      </c>
      <c r="D59" s="7" t="s">
        <v>95</v>
      </c>
      <c r="E59" s="7" t="s">
        <v>38</v>
      </c>
      <c r="F59" s="7" t="s">
        <v>70</v>
      </c>
      <c r="G59" s="7">
        <v>2021</v>
      </c>
      <c r="H59" s="7" t="str">
        <f>CONCATENATE("14240799883")</f>
        <v>14240799883</v>
      </c>
      <c r="I59" s="7" t="s">
        <v>30</v>
      </c>
      <c r="J59" s="7" t="s">
        <v>31</v>
      </c>
      <c r="K59" s="7" t="str">
        <f>CONCATENATE("")</f>
        <v/>
      </c>
      <c r="L59" s="7" t="str">
        <f>CONCATENATE("11 11.2 4b")</f>
        <v>11 11.2 4b</v>
      </c>
      <c r="M59" s="7" t="str">
        <f>CONCATENATE("LBRMTT93P26A465A")</f>
        <v>LBRMTT93P26A465A</v>
      </c>
      <c r="N59" s="7" t="s">
        <v>153</v>
      </c>
      <c r="O59" s="7" t="s">
        <v>139</v>
      </c>
      <c r="P59" s="8">
        <v>44545</v>
      </c>
      <c r="Q59" s="7" t="s">
        <v>32</v>
      </c>
      <c r="R59" s="7" t="s">
        <v>33</v>
      </c>
      <c r="S59" s="7" t="s">
        <v>34</v>
      </c>
      <c r="T59" s="7"/>
      <c r="U59" s="7" t="s">
        <v>35</v>
      </c>
      <c r="V59" s="9">
        <v>3312.41</v>
      </c>
      <c r="W59" s="9">
        <v>1428.31</v>
      </c>
      <c r="X59" s="9">
        <v>1319</v>
      </c>
      <c r="Y59" s="7">
        <v>0</v>
      </c>
      <c r="Z59" s="7">
        <v>565.1</v>
      </c>
    </row>
    <row r="60" spans="1:26" ht="17.5" x14ac:dyDescent="0.35">
      <c r="A60" s="7" t="s">
        <v>27</v>
      </c>
      <c r="B60" s="7" t="s">
        <v>43</v>
      </c>
      <c r="C60" s="7" t="s">
        <v>50</v>
      </c>
      <c r="D60" s="7" t="s">
        <v>95</v>
      </c>
      <c r="E60" s="7" t="s">
        <v>41</v>
      </c>
      <c r="F60" s="7" t="s">
        <v>142</v>
      </c>
      <c r="G60" s="7">
        <v>2021</v>
      </c>
      <c r="H60" s="7" t="str">
        <f>CONCATENATE("14241226977")</f>
        <v>14241226977</v>
      </c>
      <c r="I60" s="7" t="s">
        <v>30</v>
      </c>
      <c r="J60" s="7" t="s">
        <v>31</v>
      </c>
      <c r="K60" s="7" t="str">
        <f>CONCATENATE("")</f>
        <v/>
      </c>
      <c r="L60" s="7" t="str">
        <f>CONCATENATE("11 11.2 4b")</f>
        <v>11 11.2 4b</v>
      </c>
      <c r="M60" s="7" t="str">
        <f>CONCATENATE("01955930431")</f>
        <v>01955930431</v>
      </c>
      <c r="N60" s="7" t="s">
        <v>154</v>
      </c>
      <c r="O60" s="7" t="s">
        <v>139</v>
      </c>
      <c r="P60" s="8">
        <v>44545</v>
      </c>
      <c r="Q60" s="7" t="s">
        <v>32</v>
      </c>
      <c r="R60" s="7" t="s">
        <v>33</v>
      </c>
      <c r="S60" s="7" t="s">
        <v>34</v>
      </c>
      <c r="T60" s="7"/>
      <c r="U60" s="7" t="s">
        <v>35</v>
      </c>
      <c r="V60" s="9">
        <v>1690.16</v>
      </c>
      <c r="W60" s="7">
        <v>728.8</v>
      </c>
      <c r="X60" s="7">
        <v>673.02</v>
      </c>
      <c r="Y60" s="7">
        <v>0</v>
      </c>
      <c r="Z60" s="7">
        <v>288.33999999999997</v>
      </c>
    </row>
    <row r="61" spans="1:26" x14ac:dyDescent="0.35">
      <c r="A61" s="7" t="s">
        <v>27</v>
      </c>
      <c r="B61" s="7" t="s">
        <v>43</v>
      </c>
      <c r="C61" s="7" t="s">
        <v>50</v>
      </c>
      <c r="D61" s="7" t="s">
        <v>95</v>
      </c>
      <c r="E61" s="7" t="s">
        <v>39</v>
      </c>
      <c r="F61" s="7" t="s">
        <v>155</v>
      </c>
      <c r="G61" s="7">
        <v>2021</v>
      </c>
      <c r="H61" s="7" t="str">
        <f>CONCATENATE("14240398017")</f>
        <v>14240398017</v>
      </c>
      <c r="I61" s="7" t="s">
        <v>30</v>
      </c>
      <c r="J61" s="7" t="s">
        <v>31</v>
      </c>
      <c r="K61" s="7" t="str">
        <f>CONCATENATE("")</f>
        <v/>
      </c>
      <c r="L61" s="7" t="str">
        <f>CONCATENATE("11 11.2 4b")</f>
        <v>11 11.2 4b</v>
      </c>
      <c r="M61" s="7" t="str">
        <f>CONCATENATE("VTIFLC49L17D564A")</f>
        <v>VTIFLC49L17D564A</v>
      </c>
      <c r="N61" s="7" t="s">
        <v>156</v>
      </c>
      <c r="O61" s="7" t="s">
        <v>139</v>
      </c>
      <c r="P61" s="8">
        <v>44545</v>
      </c>
      <c r="Q61" s="7" t="s">
        <v>32</v>
      </c>
      <c r="R61" s="7" t="s">
        <v>33</v>
      </c>
      <c r="S61" s="7" t="s">
        <v>34</v>
      </c>
      <c r="T61" s="7"/>
      <c r="U61" s="7" t="s">
        <v>35</v>
      </c>
      <c r="V61" s="9">
        <v>3160.39</v>
      </c>
      <c r="W61" s="9">
        <v>1362.76</v>
      </c>
      <c r="X61" s="9">
        <v>1258.47</v>
      </c>
      <c r="Y61" s="7">
        <v>0</v>
      </c>
      <c r="Z61" s="7">
        <v>539.16</v>
      </c>
    </row>
    <row r="62" spans="1:26" x14ac:dyDescent="0.35">
      <c r="A62" s="7" t="s">
        <v>27</v>
      </c>
      <c r="B62" s="7" t="s">
        <v>28</v>
      </c>
      <c r="C62" s="7" t="s">
        <v>50</v>
      </c>
      <c r="D62" s="7" t="s">
        <v>51</v>
      </c>
      <c r="E62" s="7" t="s">
        <v>157</v>
      </c>
      <c r="F62" s="7" t="s">
        <v>158</v>
      </c>
      <c r="G62" s="7">
        <v>2017</v>
      </c>
      <c r="H62" s="7" t="str">
        <f>CONCATENATE("14270345375")</f>
        <v>14270345375</v>
      </c>
      <c r="I62" s="7" t="s">
        <v>30</v>
      </c>
      <c r="J62" s="7" t="s">
        <v>31</v>
      </c>
      <c r="K62" s="7" t="str">
        <f>CONCATENATE("")</f>
        <v/>
      </c>
      <c r="L62" s="7" t="str">
        <f>CONCATENATE("6 6.4 2a")</f>
        <v>6 6.4 2a</v>
      </c>
      <c r="M62" s="7" t="str">
        <f>CONCATENATE("TGNLNZ96D17F704X")</f>
        <v>TGNLNZ96D17F704X</v>
      </c>
      <c r="N62" s="7" t="s">
        <v>159</v>
      </c>
      <c r="O62" s="7" t="s">
        <v>160</v>
      </c>
      <c r="P62" s="8">
        <v>44544</v>
      </c>
      <c r="Q62" s="7" t="s">
        <v>32</v>
      </c>
      <c r="R62" s="7" t="s">
        <v>47</v>
      </c>
      <c r="S62" s="7" t="s">
        <v>34</v>
      </c>
      <c r="T62" s="7"/>
      <c r="U62" s="7" t="s">
        <v>35</v>
      </c>
      <c r="V62" s="9">
        <v>72841.320000000007</v>
      </c>
      <c r="W62" s="9">
        <v>31409.18</v>
      </c>
      <c r="X62" s="9">
        <v>29005.41</v>
      </c>
      <c r="Y62" s="7">
        <v>0</v>
      </c>
      <c r="Z62" s="9">
        <v>12426.73</v>
      </c>
    </row>
    <row r="63" spans="1:26" ht="17.5" x14ac:dyDescent="0.35">
      <c r="A63" s="7" t="s">
        <v>27</v>
      </c>
      <c r="B63" s="7" t="s">
        <v>28</v>
      </c>
      <c r="C63" s="7" t="s">
        <v>50</v>
      </c>
      <c r="D63" s="7" t="s">
        <v>59</v>
      </c>
      <c r="E63" s="7" t="s">
        <v>44</v>
      </c>
      <c r="F63" s="7" t="s">
        <v>82</v>
      </c>
      <c r="G63" s="7">
        <v>2017</v>
      </c>
      <c r="H63" s="7" t="str">
        <f>CONCATENATE("14270346506")</f>
        <v>14270346506</v>
      </c>
      <c r="I63" s="7" t="s">
        <v>30</v>
      </c>
      <c r="J63" s="7" t="s">
        <v>31</v>
      </c>
      <c r="K63" s="7" t="str">
        <f>CONCATENATE("")</f>
        <v/>
      </c>
      <c r="L63" s="7" t="str">
        <f>CONCATENATE("4 4.1 2a")</f>
        <v>4 4.1 2a</v>
      </c>
      <c r="M63" s="7" t="str">
        <f>CONCATENATE("02255700441")</f>
        <v>02255700441</v>
      </c>
      <c r="N63" s="7" t="s">
        <v>103</v>
      </c>
      <c r="O63" s="7" t="s">
        <v>161</v>
      </c>
      <c r="P63" s="8">
        <v>44545</v>
      </c>
      <c r="Q63" s="7" t="s">
        <v>32</v>
      </c>
      <c r="R63" s="7" t="s">
        <v>33</v>
      </c>
      <c r="S63" s="7" t="s">
        <v>34</v>
      </c>
      <c r="T63" s="7"/>
      <c r="U63" s="7" t="s">
        <v>35</v>
      </c>
      <c r="V63" s="9">
        <v>46689.53</v>
      </c>
      <c r="W63" s="9">
        <v>20132.53</v>
      </c>
      <c r="X63" s="9">
        <v>18591.77</v>
      </c>
      <c r="Y63" s="7">
        <v>0</v>
      </c>
      <c r="Z63" s="9">
        <v>7965.23</v>
      </c>
    </row>
    <row r="64" spans="1:26" x14ac:dyDescent="0.35">
      <c r="A64" s="7" t="s">
        <v>27</v>
      </c>
      <c r="B64" s="7" t="s">
        <v>28</v>
      </c>
      <c r="C64" s="7" t="s">
        <v>50</v>
      </c>
      <c r="D64" s="7" t="s">
        <v>55</v>
      </c>
      <c r="E64" s="7" t="s">
        <v>29</v>
      </c>
      <c r="F64" s="7" t="s">
        <v>56</v>
      </c>
      <c r="G64" s="7">
        <v>2017</v>
      </c>
      <c r="H64" s="7" t="str">
        <f>CONCATENATE("14270346860")</f>
        <v>14270346860</v>
      </c>
      <c r="I64" s="7" t="s">
        <v>30</v>
      </c>
      <c r="J64" s="7" t="s">
        <v>31</v>
      </c>
      <c r="K64" s="7" t="str">
        <f>CONCATENATE("")</f>
        <v/>
      </c>
      <c r="L64" s="7" t="str">
        <f>CONCATENATE("4 4.1 2a")</f>
        <v>4 4.1 2a</v>
      </c>
      <c r="M64" s="7" t="str">
        <f>CONCATENATE("RMTJTH95E31D488L")</f>
        <v>RMTJTH95E31D488L</v>
      </c>
      <c r="N64" s="7" t="s">
        <v>162</v>
      </c>
      <c r="O64" s="7" t="s">
        <v>163</v>
      </c>
      <c r="P64" s="8">
        <v>44545</v>
      </c>
      <c r="Q64" s="7" t="s">
        <v>32</v>
      </c>
      <c r="R64" s="7" t="s">
        <v>33</v>
      </c>
      <c r="S64" s="7" t="s">
        <v>34</v>
      </c>
      <c r="T64" s="7"/>
      <c r="U64" s="7" t="s">
        <v>35</v>
      </c>
      <c r="V64" s="9">
        <v>30382.13</v>
      </c>
      <c r="W64" s="9">
        <v>13100.77</v>
      </c>
      <c r="X64" s="9">
        <v>12098.16</v>
      </c>
      <c r="Y64" s="7">
        <v>0</v>
      </c>
      <c r="Z64" s="9">
        <v>5183.2</v>
      </c>
    </row>
    <row r="65" spans="1:26" x14ac:dyDescent="0.35">
      <c r="A65" s="7" t="s">
        <v>27</v>
      </c>
      <c r="B65" s="7" t="s">
        <v>43</v>
      </c>
      <c r="C65" s="7" t="s">
        <v>50</v>
      </c>
      <c r="D65" s="7" t="s">
        <v>59</v>
      </c>
      <c r="E65" s="7" t="s">
        <v>29</v>
      </c>
      <c r="F65" s="7" t="s">
        <v>164</v>
      </c>
      <c r="G65" s="7">
        <v>2020</v>
      </c>
      <c r="H65" s="7" t="str">
        <f>CONCATENATE("04240125999")</f>
        <v>04240125999</v>
      </c>
      <c r="I65" s="7" t="s">
        <v>30</v>
      </c>
      <c r="J65" s="7" t="s">
        <v>31</v>
      </c>
      <c r="K65" s="7" t="str">
        <f>CONCATENATE("")</f>
        <v/>
      </c>
      <c r="L65" s="7" t="str">
        <f>CONCATENATE("11 11.2 4b")</f>
        <v>11 11.2 4b</v>
      </c>
      <c r="M65" s="7" t="str">
        <f>CONCATENATE("MNNGRL65A07F501C")</f>
        <v>MNNGRL65A07F501C</v>
      </c>
      <c r="N65" s="7" t="s">
        <v>165</v>
      </c>
      <c r="O65" s="7" t="s">
        <v>166</v>
      </c>
      <c r="P65" s="8">
        <v>44546</v>
      </c>
      <c r="Q65" s="7" t="s">
        <v>32</v>
      </c>
      <c r="R65" s="7" t="s">
        <v>33</v>
      </c>
      <c r="S65" s="7" t="s">
        <v>34</v>
      </c>
      <c r="T65" s="7"/>
      <c r="U65" s="7" t="s">
        <v>35</v>
      </c>
      <c r="V65" s="9">
        <v>6342.96</v>
      </c>
      <c r="W65" s="9">
        <v>2735.08</v>
      </c>
      <c r="X65" s="9">
        <v>2525.77</v>
      </c>
      <c r="Y65" s="7">
        <v>0</v>
      </c>
      <c r="Z65" s="9">
        <v>1082.1099999999999</v>
      </c>
    </row>
    <row r="66" spans="1:26" x14ac:dyDescent="0.35">
      <c r="A66" s="7" t="s">
        <v>27</v>
      </c>
      <c r="B66" s="7" t="s">
        <v>43</v>
      </c>
      <c r="C66" s="7" t="s">
        <v>50</v>
      </c>
      <c r="D66" s="7" t="s">
        <v>95</v>
      </c>
      <c r="E66" s="7" t="s">
        <v>41</v>
      </c>
      <c r="F66" s="7" t="s">
        <v>140</v>
      </c>
      <c r="G66" s="7">
        <v>2021</v>
      </c>
      <c r="H66" s="7" t="str">
        <f>CONCATENATE("14240131095")</f>
        <v>14240131095</v>
      </c>
      <c r="I66" s="7" t="s">
        <v>30</v>
      </c>
      <c r="J66" s="7" t="s">
        <v>31</v>
      </c>
      <c r="K66" s="7" t="str">
        <f>CONCATENATE("")</f>
        <v/>
      </c>
      <c r="L66" s="7" t="str">
        <f>CONCATENATE("14 14.1 3a")</f>
        <v>14 14.1 3a</v>
      </c>
      <c r="M66" s="7" t="str">
        <f>CONCATENATE("MCRMSM74P20L366A")</f>
        <v>MCRMSM74P20L366A</v>
      </c>
      <c r="N66" s="7" t="s">
        <v>167</v>
      </c>
      <c r="O66" s="7" t="s">
        <v>168</v>
      </c>
      <c r="P66" s="8">
        <v>44543</v>
      </c>
      <c r="Q66" s="7" t="s">
        <v>32</v>
      </c>
      <c r="R66" s="7" t="s">
        <v>33</v>
      </c>
      <c r="S66" s="7" t="s">
        <v>34</v>
      </c>
      <c r="T66" s="7"/>
      <c r="U66" s="7" t="s">
        <v>35</v>
      </c>
      <c r="V66" s="9">
        <v>11388.6</v>
      </c>
      <c r="W66" s="9">
        <v>4910.76</v>
      </c>
      <c r="X66" s="9">
        <v>4534.9399999999996</v>
      </c>
      <c r="Y66" s="7">
        <v>0</v>
      </c>
      <c r="Z66" s="9">
        <v>1942.9</v>
      </c>
    </row>
    <row r="67" spans="1:26" x14ac:dyDescent="0.35">
      <c r="A67" s="7" t="s">
        <v>27</v>
      </c>
      <c r="B67" s="7" t="s">
        <v>43</v>
      </c>
      <c r="C67" s="7" t="s">
        <v>50</v>
      </c>
      <c r="D67" s="7" t="s">
        <v>95</v>
      </c>
      <c r="E67" s="7" t="s">
        <v>29</v>
      </c>
      <c r="F67" s="7" t="s">
        <v>169</v>
      </c>
      <c r="G67" s="7">
        <v>2021</v>
      </c>
      <c r="H67" s="7" t="str">
        <f>CONCATENATE("14241240655")</f>
        <v>14241240655</v>
      </c>
      <c r="I67" s="7" t="s">
        <v>30</v>
      </c>
      <c r="J67" s="7" t="s">
        <v>31</v>
      </c>
      <c r="K67" s="7" t="str">
        <f>CONCATENATE("")</f>
        <v/>
      </c>
      <c r="L67" s="7" t="str">
        <f>CONCATENATE("14 14.1 3a")</f>
        <v>14 14.1 3a</v>
      </c>
      <c r="M67" s="7" t="str">
        <f>CONCATENATE("02050730437")</f>
        <v>02050730437</v>
      </c>
      <c r="N67" s="7" t="s">
        <v>170</v>
      </c>
      <c r="O67" s="7" t="s">
        <v>168</v>
      </c>
      <c r="P67" s="8">
        <v>44543</v>
      </c>
      <c r="Q67" s="7" t="s">
        <v>32</v>
      </c>
      <c r="R67" s="7" t="s">
        <v>33</v>
      </c>
      <c r="S67" s="7" t="s">
        <v>34</v>
      </c>
      <c r="T67" s="7"/>
      <c r="U67" s="7" t="s">
        <v>35</v>
      </c>
      <c r="V67" s="9">
        <v>11388.6</v>
      </c>
      <c r="W67" s="9">
        <v>4910.76</v>
      </c>
      <c r="X67" s="9">
        <v>4534.9399999999996</v>
      </c>
      <c r="Y67" s="7">
        <v>0</v>
      </c>
      <c r="Z67" s="9">
        <v>1942.9</v>
      </c>
    </row>
    <row r="68" spans="1:26" x14ac:dyDescent="0.35">
      <c r="A68" s="7" t="s">
        <v>27</v>
      </c>
      <c r="B68" s="7" t="s">
        <v>43</v>
      </c>
      <c r="C68" s="7" t="s">
        <v>50</v>
      </c>
      <c r="D68" s="7" t="s">
        <v>95</v>
      </c>
      <c r="E68" s="7" t="s">
        <v>29</v>
      </c>
      <c r="F68" s="7" t="s">
        <v>171</v>
      </c>
      <c r="G68" s="7">
        <v>2021</v>
      </c>
      <c r="H68" s="7" t="str">
        <f>CONCATENATE("14210996956")</f>
        <v>14210996956</v>
      </c>
      <c r="I68" s="7" t="s">
        <v>30</v>
      </c>
      <c r="J68" s="7" t="s">
        <v>31</v>
      </c>
      <c r="K68" s="7" t="str">
        <f>CONCATENATE("")</f>
        <v/>
      </c>
      <c r="L68" s="7" t="str">
        <f>CONCATENATE("12 12.1 4a")</f>
        <v>12 12.1 4a</v>
      </c>
      <c r="M68" s="7" t="str">
        <f>CONCATENATE("00389590431")</f>
        <v>00389590431</v>
      </c>
      <c r="N68" s="7" t="s">
        <v>172</v>
      </c>
      <c r="O68" s="7" t="s">
        <v>173</v>
      </c>
      <c r="P68" s="8">
        <v>44544</v>
      </c>
      <c r="Q68" s="7" t="s">
        <v>32</v>
      </c>
      <c r="R68" s="7" t="s">
        <v>33</v>
      </c>
      <c r="S68" s="7" t="s">
        <v>34</v>
      </c>
      <c r="T68" s="7"/>
      <c r="U68" s="7" t="s">
        <v>35</v>
      </c>
      <c r="V68" s="7">
        <v>885.34</v>
      </c>
      <c r="W68" s="7">
        <v>381.76</v>
      </c>
      <c r="X68" s="7">
        <v>352.54</v>
      </c>
      <c r="Y68" s="7">
        <v>0</v>
      </c>
      <c r="Z68" s="7">
        <v>151.04</v>
      </c>
    </row>
    <row r="69" spans="1:26" x14ac:dyDescent="0.35">
      <c r="A69" s="7" t="s">
        <v>27</v>
      </c>
      <c r="B69" s="7" t="s">
        <v>43</v>
      </c>
      <c r="C69" s="7" t="s">
        <v>50</v>
      </c>
      <c r="D69" s="7" t="s">
        <v>95</v>
      </c>
      <c r="E69" s="7" t="s">
        <v>41</v>
      </c>
      <c r="F69" s="7" t="s">
        <v>144</v>
      </c>
      <c r="G69" s="7">
        <v>2021</v>
      </c>
      <c r="H69" s="7" t="str">
        <f>CONCATENATE("14210367760")</f>
        <v>14210367760</v>
      </c>
      <c r="I69" s="7" t="s">
        <v>30</v>
      </c>
      <c r="J69" s="7" t="s">
        <v>31</v>
      </c>
      <c r="K69" s="7" t="str">
        <f>CONCATENATE("")</f>
        <v/>
      </c>
      <c r="L69" s="7" t="str">
        <f>CONCATENATE("13 13.1 4a")</f>
        <v>13 13.1 4a</v>
      </c>
      <c r="M69" s="7" t="str">
        <f>CONCATENATE("LPSVLM98A15Z155Z")</f>
        <v>LPSVLM98A15Z155Z</v>
      </c>
      <c r="N69" s="7" t="s">
        <v>174</v>
      </c>
      <c r="O69" s="7" t="s">
        <v>175</v>
      </c>
      <c r="P69" s="8">
        <v>44546</v>
      </c>
      <c r="Q69" s="7" t="s">
        <v>32</v>
      </c>
      <c r="R69" s="7" t="s">
        <v>33</v>
      </c>
      <c r="S69" s="7" t="s">
        <v>34</v>
      </c>
      <c r="T69" s="7"/>
      <c r="U69" s="7" t="s">
        <v>35</v>
      </c>
      <c r="V69" s="9">
        <v>6030.64</v>
      </c>
      <c r="W69" s="9">
        <v>2600.41</v>
      </c>
      <c r="X69" s="9">
        <v>2401.4</v>
      </c>
      <c r="Y69" s="7">
        <v>0</v>
      </c>
      <c r="Z69" s="9">
        <v>1028.83</v>
      </c>
    </row>
    <row r="70" spans="1:26" x14ac:dyDescent="0.35">
      <c r="A70" s="7" t="s">
        <v>27</v>
      </c>
      <c r="B70" s="7" t="s">
        <v>43</v>
      </c>
      <c r="C70" s="7" t="s">
        <v>50</v>
      </c>
      <c r="D70" s="7" t="s">
        <v>55</v>
      </c>
      <c r="E70" s="7" t="s">
        <v>38</v>
      </c>
      <c r="F70" s="7" t="s">
        <v>176</v>
      </c>
      <c r="G70" s="7">
        <v>2021</v>
      </c>
      <c r="H70" s="7" t="str">
        <f>CONCATENATE("14210639234")</f>
        <v>14210639234</v>
      </c>
      <c r="I70" s="7" t="s">
        <v>30</v>
      </c>
      <c r="J70" s="7" t="s">
        <v>31</v>
      </c>
      <c r="K70" s="7" t="str">
        <f>CONCATENATE("")</f>
        <v/>
      </c>
      <c r="L70" s="7" t="str">
        <f>CONCATENATE("13 13.1 4a")</f>
        <v>13 13.1 4a</v>
      </c>
      <c r="M70" s="7" t="str">
        <f>CONCATENATE("SNCVTR60L02L078O")</f>
        <v>SNCVTR60L02L078O</v>
      </c>
      <c r="N70" s="7" t="s">
        <v>177</v>
      </c>
      <c r="O70" s="7" t="s">
        <v>175</v>
      </c>
      <c r="P70" s="8">
        <v>44546</v>
      </c>
      <c r="Q70" s="7" t="s">
        <v>32</v>
      </c>
      <c r="R70" s="7" t="s">
        <v>33</v>
      </c>
      <c r="S70" s="7" t="s">
        <v>34</v>
      </c>
      <c r="T70" s="7"/>
      <c r="U70" s="7" t="s">
        <v>35</v>
      </c>
      <c r="V70" s="9">
        <v>3110.72</v>
      </c>
      <c r="W70" s="9">
        <v>1341.34</v>
      </c>
      <c r="X70" s="9">
        <v>1238.69</v>
      </c>
      <c r="Y70" s="7">
        <v>0</v>
      </c>
      <c r="Z70" s="7">
        <v>530.69000000000005</v>
      </c>
    </row>
    <row r="71" spans="1:26" x14ac:dyDescent="0.35">
      <c r="A71" s="7" t="s">
        <v>27</v>
      </c>
      <c r="B71" s="7" t="s">
        <v>43</v>
      </c>
      <c r="C71" s="7" t="s">
        <v>50</v>
      </c>
      <c r="D71" s="7" t="s">
        <v>55</v>
      </c>
      <c r="E71" s="7" t="s">
        <v>29</v>
      </c>
      <c r="F71" s="7" t="s">
        <v>91</v>
      </c>
      <c r="G71" s="7">
        <v>2021</v>
      </c>
      <c r="H71" s="7" t="str">
        <f>CONCATENATE("14211016465")</f>
        <v>14211016465</v>
      </c>
      <c r="I71" s="7" t="s">
        <v>30</v>
      </c>
      <c r="J71" s="7" t="s">
        <v>31</v>
      </c>
      <c r="K71" s="7" t="str">
        <f>CONCATENATE("")</f>
        <v/>
      </c>
      <c r="L71" s="7" t="str">
        <f>CONCATENATE("13 13.1 4a")</f>
        <v>13 13.1 4a</v>
      </c>
      <c r="M71" s="7" t="str">
        <f>CONCATENATE("91019730414")</f>
        <v>91019730414</v>
      </c>
      <c r="N71" s="7" t="s">
        <v>92</v>
      </c>
      <c r="O71" s="7" t="s">
        <v>175</v>
      </c>
      <c r="P71" s="8">
        <v>44546</v>
      </c>
      <c r="Q71" s="7" t="s">
        <v>32</v>
      </c>
      <c r="R71" s="7" t="s">
        <v>33</v>
      </c>
      <c r="S71" s="7" t="s">
        <v>34</v>
      </c>
      <c r="T71" s="7"/>
      <c r="U71" s="7" t="s">
        <v>35</v>
      </c>
      <c r="V71" s="7">
        <v>934.08</v>
      </c>
      <c r="W71" s="7">
        <v>402.78</v>
      </c>
      <c r="X71" s="7">
        <v>371.95</v>
      </c>
      <c r="Y71" s="7">
        <v>0</v>
      </c>
      <c r="Z71" s="7">
        <v>159.35</v>
      </c>
    </row>
    <row r="72" spans="1:26" x14ac:dyDescent="0.35">
      <c r="A72" s="7" t="s">
        <v>27</v>
      </c>
      <c r="B72" s="7" t="s">
        <v>43</v>
      </c>
      <c r="C72" s="7" t="s">
        <v>50</v>
      </c>
      <c r="D72" s="7" t="s">
        <v>55</v>
      </c>
      <c r="E72" s="7" t="s">
        <v>38</v>
      </c>
      <c r="F72" s="7" t="s">
        <v>178</v>
      </c>
      <c r="G72" s="7">
        <v>2021</v>
      </c>
      <c r="H72" s="7" t="str">
        <f>CONCATENATE("14210693686")</f>
        <v>14210693686</v>
      </c>
      <c r="I72" s="7" t="s">
        <v>30</v>
      </c>
      <c r="J72" s="7" t="s">
        <v>31</v>
      </c>
      <c r="K72" s="7" t="str">
        <f>CONCATENATE("")</f>
        <v/>
      </c>
      <c r="L72" s="7" t="str">
        <f>CONCATENATE("13 13.1 4a")</f>
        <v>13 13.1 4a</v>
      </c>
      <c r="M72" s="7" t="str">
        <f>CONCATENATE("CPCLEI32C02D749N")</f>
        <v>CPCLEI32C02D749N</v>
      </c>
      <c r="N72" s="7" t="s">
        <v>179</v>
      </c>
      <c r="O72" s="7" t="s">
        <v>175</v>
      </c>
      <c r="P72" s="8">
        <v>44546</v>
      </c>
      <c r="Q72" s="7" t="s">
        <v>32</v>
      </c>
      <c r="R72" s="7" t="s">
        <v>33</v>
      </c>
      <c r="S72" s="7" t="s">
        <v>34</v>
      </c>
      <c r="T72" s="7"/>
      <c r="U72" s="7" t="s">
        <v>35</v>
      </c>
      <c r="V72" s="7">
        <v>914.7</v>
      </c>
      <c r="W72" s="7">
        <v>394.42</v>
      </c>
      <c r="X72" s="7">
        <v>364.23</v>
      </c>
      <c r="Y72" s="7">
        <v>0</v>
      </c>
      <c r="Z72" s="7">
        <v>156.05000000000001</v>
      </c>
    </row>
    <row r="73" spans="1:26" x14ac:dyDescent="0.35">
      <c r="A73" s="7" t="s">
        <v>27</v>
      </c>
      <c r="B73" s="7" t="s">
        <v>43</v>
      </c>
      <c r="C73" s="7" t="s">
        <v>50</v>
      </c>
      <c r="D73" s="7" t="s">
        <v>55</v>
      </c>
      <c r="E73" s="7" t="s">
        <v>29</v>
      </c>
      <c r="F73" s="7" t="s">
        <v>180</v>
      </c>
      <c r="G73" s="7">
        <v>2021</v>
      </c>
      <c r="H73" s="7" t="str">
        <f>CONCATENATE("14210026150")</f>
        <v>14210026150</v>
      </c>
      <c r="I73" s="7" t="s">
        <v>30</v>
      </c>
      <c r="J73" s="7" t="s">
        <v>31</v>
      </c>
      <c r="K73" s="7" t="str">
        <f>CONCATENATE("")</f>
        <v/>
      </c>
      <c r="L73" s="7" t="str">
        <f>CONCATENATE("13 13.1 4a")</f>
        <v>13 13.1 4a</v>
      </c>
      <c r="M73" s="7" t="str">
        <f>CONCATENATE("01388180414")</f>
        <v>01388180414</v>
      </c>
      <c r="N73" s="7" t="s">
        <v>181</v>
      </c>
      <c r="O73" s="7" t="s">
        <v>175</v>
      </c>
      <c r="P73" s="8">
        <v>44546</v>
      </c>
      <c r="Q73" s="7" t="s">
        <v>32</v>
      </c>
      <c r="R73" s="7" t="s">
        <v>33</v>
      </c>
      <c r="S73" s="7" t="s">
        <v>34</v>
      </c>
      <c r="T73" s="7"/>
      <c r="U73" s="7" t="s">
        <v>35</v>
      </c>
      <c r="V73" s="9">
        <v>2612.7800000000002</v>
      </c>
      <c r="W73" s="9">
        <v>1126.6300000000001</v>
      </c>
      <c r="X73" s="9">
        <v>1040.4100000000001</v>
      </c>
      <c r="Y73" s="7">
        <v>0</v>
      </c>
      <c r="Z73" s="7">
        <v>445.74</v>
      </c>
    </row>
    <row r="74" spans="1:26" x14ac:dyDescent="0.35">
      <c r="A74" s="7" t="s">
        <v>27</v>
      </c>
      <c r="B74" s="7" t="s">
        <v>43</v>
      </c>
      <c r="C74" s="7" t="s">
        <v>50</v>
      </c>
      <c r="D74" s="7" t="s">
        <v>55</v>
      </c>
      <c r="E74" s="7" t="s">
        <v>38</v>
      </c>
      <c r="F74" s="7" t="s">
        <v>182</v>
      </c>
      <c r="G74" s="7">
        <v>2021</v>
      </c>
      <c r="H74" s="7" t="str">
        <f>CONCATENATE("14210550514")</f>
        <v>14210550514</v>
      </c>
      <c r="I74" s="7" t="s">
        <v>30</v>
      </c>
      <c r="J74" s="7" t="s">
        <v>31</v>
      </c>
      <c r="K74" s="7" t="str">
        <f>CONCATENATE("")</f>
        <v/>
      </c>
      <c r="L74" s="7" t="str">
        <f>CONCATENATE("13 13.1 4a")</f>
        <v>13 13.1 4a</v>
      </c>
      <c r="M74" s="7" t="str">
        <f>CONCATENATE("RGNRCR68R18A740Q")</f>
        <v>RGNRCR68R18A740Q</v>
      </c>
      <c r="N74" s="7" t="s">
        <v>183</v>
      </c>
      <c r="O74" s="7" t="s">
        <v>175</v>
      </c>
      <c r="P74" s="8">
        <v>44546</v>
      </c>
      <c r="Q74" s="7" t="s">
        <v>32</v>
      </c>
      <c r="R74" s="7" t="s">
        <v>33</v>
      </c>
      <c r="S74" s="7" t="s">
        <v>34</v>
      </c>
      <c r="T74" s="7"/>
      <c r="U74" s="7" t="s">
        <v>35</v>
      </c>
      <c r="V74" s="7">
        <v>717.64</v>
      </c>
      <c r="W74" s="7">
        <v>309.45</v>
      </c>
      <c r="X74" s="7">
        <v>285.76</v>
      </c>
      <c r="Y74" s="7">
        <v>0</v>
      </c>
      <c r="Z74" s="7">
        <v>122.43</v>
      </c>
    </row>
    <row r="75" spans="1:26" x14ac:dyDescent="0.35">
      <c r="A75" s="7" t="s">
        <v>27</v>
      </c>
      <c r="B75" s="7" t="s">
        <v>43</v>
      </c>
      <c r="C75" s="7" t="s">
        <v>50</v>
      </c>
      <c r="D75" s="7" t="s">
        <v>95</v>
      </c>
      <c r="E75" s="7" t="s">
        <v>36</v>
      </c>
      <c r="F75" s="7" t="s">
        <v>184</v>
      </c>
      <c r="G75" s="7">
        <v>2021</v>
      </c>
      <c r="H75" s="7" t="str">
        <f>CONCATENATE("14210356946")</f>
        <v>14210356946</v>
      </c>
      <c r="I75" s="7" t="s">
        <v>30</v>
      </c>
      <c r="J75" s="7" t="s">
        <v>31</v>
      </c>
      <c r="K75" s="7" t="str">
        <f>CONCATENATE("")</f>
        <v/>
      </c>
      <c r="L75" s="7" t="str">
        <f>CONCATENATE("13 13.1 4a")</f>
        <v>13 13.1 4a</v>
      </c>
      <c r="M75" s="7" t="str">
        <f>CONCATENATE("ZCCCLL70R30H501S")</f>
        <v>ZCCCLL70R30H501S</v>
      </c>
      <c r="N75" s="7" t="s">
        <v>185</v>
      </c>
      <c r="O75" s="7" t="s">
        <v>175</v>
      </c>
      <c r="P75" s="8">
        <v>44546</v>
      </c>
      <c r="Q75" s="7" t="s">
        <v>32</v>
      </c>
      <c r="R75" s="7" t="s">
        <v>33</v>
      </c>
      <c r="S75" s="7" t="s">
        <v>34</v>
      </c>
      <c r="T75" s="7"/>
      <c r="U75" s="7" t="s">
        <v>35</v>
      </c>
      <c r="V75" s="9">
        <v>3004.76</v>
      </c>
      <c r="W75" s="9">
        <v>1295.6500000000001</v>
      </c>
      <c r="X75" s="9">
        <v>1196.5</v>
      </c>
      <c r="Y75" s="7">
        <v>0</v>
      </c>
      <c r="Z75" s="7">
        <v>512.61</v>
      </c>
    </row>
    <row r="76" spans="1:26" x14ac:dyDescent="0.35">
      <c r="A76" s="7" t="s">
        <v>27</v>
      </c>
      <c r="B76" s="7" t="s">
        <v>43</v>
      </c>
      <c r="C76" s="7" t="s">
        <v>50</v>
      </c>
      <c r="D76" s="7" t="s">
        <v>95</v>
      </c>
      <c r="E76" s="7" t="s">
        <v>41</v>
      </c>
      <c r="F76" s="7" t="s">
        <v>144</v>
      </c>
      <c r="G76" s="7">
        <v>2021</v>
      </c>
      <c r="H76" s="7" t="str">
        <f>CONCATENATE("14211171732")</f>
        <v>14211171732</v>
      </c>
      <c r="I76" s="7" t="s">
        <v>30</v>
      </c>
      <c r="J76" s="7" t="s">
        <v>31</v>
      </c>
      <c r="K76" s="7" t="str">
        <f>CONCATENATE("")</f>
        <v/>
      </c>
      <c r="L76" s="7" t="str">
        <f>CONCATENATE("13 13.1 4a")</f>
        <v>13 13.1 4a</v>
      </c>
      <c r="M76" s="7" t="str">
        <f>CONCATENATE("BNMSLV85T49H501B")</f>
        <v>BNMSLV85T49H501B</v>
      </c>
      <c r="N76" s="7" t="s">
        <v>186</v>
      </c>
      <c r="O76" s="7" t="s">
        <v>175</v>
      </c>
      <c r="P76" s="8">
        <v>44546</v>
      </c>
      <c r="Q76" s="7" t="s">
        <v>32</v>
      </c>
      <c r="R76" s="7" t="s">
        <v>33</v>
      </c>
      <c r="S76" s="7" t="s">
        <v>34</v>
      </c>
      <c r="T76" s="7"/>
      <c r="U76" s="7" t="s">
        <v>35</v>
      </c>
      <c r="V76" s="9">
        <v>2995.14</v>
      </c>
      <c r="W76" s="9">
        <v>1291.5</v>
      </c>
      <c r="X76" s="9">
        <v>1192.6600000000001</v>
      </c>
      <c r="Y76" s="7">
        <v>0</v>
      </c>
      <c r="Z76" s="7">
        <v>510.98</v>
      </c>
    </row>
    <row r="77" spans="1:26" x14ac:dyDescent="0.35">
      <c r="A77" s="7" t="s">
        <v>27</v>
      </c>
      <c r="B77" s="7" t="s">
        <v>43</v>
      </c>
      <c r="C77" s="7" t="s">
        <v>50</v>
      </c>
      <c r="D77" s="7" t="s">
        <v>51</v>
      </c>
      <c r="E77" s="7" t="s">
        <v>38</v>
      </c>
      <c r="F77" s="7" t="s">
        <v>187</v>
      </c>
      <c r="G77" s="7">
        <v>2021</v>
      </c>
      <c r="H77" s="7" t="str">
        <f>CONCATENATE("14210339082")</f>
        <v>14210339082</v>
      </c>
      <c r="I77" s="7" t="s">
        <v>30</v>
      </c>
      <c r="J77" s="7" t="s">
        <v>31</v>
      </c>
      <c r="K77" s="7" t="str">
        <f>CONCATENATE("")</f>
        <v/>
      </c>
      <c r="L77" s="7" t="str">
        <f>CONCATENATE("13 13.1 4a")</f>
        <v>13 13.1 4a</v>
      </c>
      <c r="M77" s="7" t="str">
        <f>CONCATENATE("PSTNRC45S59D451X")</f>
        <v>PSTNRC45S59D451X</v>
      </c>
      <c r="N77" s="7" t="s">
        <v>188</v>
      </c>
      <c r="O77" s="7" t="s">
        <v>175</v>
      </c>
      <c r="P77" s="8">
        <v>44546</v>
      </c>
      <c r="Q77" s="7" t="s">
        <v>32</v>
      </c>
      <c r="R77" s="7" t="s">
        <v>33</v>
      </c>
      <c r="S77" s="7" t="s">
        <v>34</v>
      </c>
      <c r="T77" s="7"/>
      <c r="U77" s="7" t="s">
        <v>35</v>
      </c>
      <c r="V77" s="9">
        <v>7574.3</v>
      </c>
      <c r="W77" s="9">
        <v>3266.04</v>
      </c>
      <c r="X77" s="9">
        <v>3016.09</v>
      </c>
      <c r="Y77" s="7">
        <v>0</v>
      </c>
      <c r="Z77" s="9">
        <v>1292.17</v>
      </c>
    </row>
    <row r="78" spans="1:26" x14ac:dyDescent="0.35">
      <c r="A78" s="7" t="s">
        <v>27</v>
      </c>
      <c r="B78" s="7" t="s">
        <v>43</v>
      </c>
      <c r="C78" s="7" t="s">
        <v>50</v>
      </c>
      <c r="D78" s="7" t="s">
        <v>55</v>
      </c>
      <c r="E78" s="7" t="s">
        <v>38</v>
      </c>
      <c r="F78" s="7" t="s">
        <v>189</v>
      </c>
      <c r="G78" s="7">
        <v>2020</v>
      </c>
      <c r="H78" s="7" t="str">
        <f>CONCATENATE("04211279395")</f>
        <v>04211279395</v>
      </c>
      <c r="I78" s="7" t="s">
        <v>30</v>
      </c>
      <c r="J78" s="7" t="s">
        <v>31</v>
      </c>
      <c r="K78" s="7" t="str">
        <f>CONCATENATE("")</f>
        <v/>
      </c>
      <c r="L78" s="7" t="str">
        <f>CONCATENATE("13 13.1 4a")</f>
        <v>13 13.1 4a</v>
      </c>
      <c r="M78" s="7" t="str">
        <f>CONCATENATE("VRDSVT58H15B287I")</f>
        <v>VRDSVT58H15B287I</v>
      </c>
      <c r="N78" s="7" t="s">
        <v>190</v>
      </c>
      <c r="O78" s="7" t="s">
        <v>175</v>
      </c>
      <c r="P78" s="8">
        <v>44546</v>
      </c>
      <c r="Q78" s="7" t="s">
        <v>32</v>
      </c>
      <c r="R78" s="7" t="s">
        <v>33</v>
      </c>
      <c r="S78" s="7" t="s">
        <v>34</v>
      </c>
      <c r="T78" s="7"/>
      <c r="U78" s="7" t="s">
        <v>35</v>
      </c>
      <c r="V78" s="9">
        <v>1315.28</v>
      </c>
      <c r="W78" s="7">
        <v>567.15</v>
      </c>
      <c r="X78" s="7">
        <v>523.74</v>
      </c>
      <c r="Y78" s="7">
        <v>0</v>
      </c>
      <c r="Z78" s="7">
        <v>224.39</v>
      </c>
    </row>
    <row r="79" spans="1:26" ht="17.5" x14ac:dyDescent="0.35">
      <c r="A79" s="7" t="s">
        <v>27</v>
      </c>
      <c r="B79" s="7" t="s">
        <v>43</v>
      </c>
      <c r="C79" s="7" t="s">
        <v>50</v>
      </c>
      <c r="D79" s="7" t="s">
        <v>55</v>
      </c>
      <c r="E79" s="7" t="s">
        <v>36</v>
      </c>
      <c r="F79" s="7" t="s">
        <v>191</v>
      </c>
      <c r="G79" s="7">
        <v>2020</v>
      </c>
      <c r="H79" s="7" t="str">
        <f>CONCATENATE("04211279346")</f>
        <v>04211279346</v>
      </c>
      <c r="I79" s="7" t="s">
        <v>30</v>
      </c>
      <c r="J79" s="7" t="s">
        <v>31</v>
      </c>
      <c r="K79" s="7" t="str">
        <f>CONCATENATE("")</f>
        <v/>
      </c>
      <c r="L79" s="7" t="str">
        <f>CONCATENATE("13 13.1 4a")</f>
        <v>13 13.1 4a</v>
      </c>
      <c r="M79" s="7" t="str">
        <f>CONCATENATE("01802180404")</f>
        <v>01802180404</v>
      </c>
      <c r="N79" s="7" t="s">
        <v>192</v>
      </c>
      <c r="O79" s="7" t="s">
        <v>175</v>
      </c>
      <c r="P79" s="8">
        <v>44546</v>
      </c>
      <c r="Q79" s="7" t="s">
        <v>32</v>
      </c>
      <c r="R79" s="7" t="s">
        <v>33</v>
      </c>
      <c r="S79" s="7" t="s">
        <v>34</v>
      </c>
      <c r="T79" s="7"/>
      <c r="U79" s="7" t="s">
        <v>35</v>
      </c>
      <c r="V79" s="9">
        <v>7472.95</v>
      </c>
      <c r="W79" s="9">
        <v>3222.34</v>
      </c>
      <c r="X79" s="9">
        <v>2975.73</v>
      </c>
      <c r="Y79" s="7">
        <v>0</v>
      </c>
      <c r="Z79" s="9">
        <v>1274.8800000000001</v>
      </c>
    </row>
    <row r="80" spans="1:26" x14ac:dyDescent="0.35">
      <c r="A80" s="7" t="s">
        <v>27</v>
      </c>
      <c r="B80" s="7" t="s">
        <v>43</v>
      </c>
      <c r="C80" s="7" t="s">
        <v>50</v>
      </c>
      <c r="D80" s="7" t="s">
        <v>95</v>
      </c>
      <c r="E80" s="7" t="s">
        <v>42</v>
      </c>
      <c r="F80" s="7" t="s">
        <v>42</v>
      </c>
      <c r="G80" s="7">
        <v>2021</v>
      </c>
      <c r="H80" s="7" t="str">
        <f>CONCATENATE("14240466830")</f>
        <v>14240466830</v>
      </c>
      <c r="I80" s="7" t="s">
        <v>30</v>
      </c>
      <c r="J80" s="7" t="s">
        <v>31</v>
      </c>
      <c r="K80" s="7" t="str">
        <f>CONCATENATE("")</f>
        <v/>
      </c>
      <c r="L80" s="7" t="str">
        <f>CONCATENATE("11 11.2 4b")</f>
        <v>11 11.2 4b</v>
      </c>
      <c r="M80" s="7" t="str">
        <f>CONCATENATE("SCLRND93L22D024E")</f>
        <v>SCLRND93L22D024E</v>
      </c>
      <c r="N80" s="7" t="s">
        <v>193</v>
      </c>
      <c r="O80" s="7" t="s">
        <v>139</v>
      </c>
      <c r="P80" s="8">
        <v>44545</v>
      </c>
      <c r="Q80" s="7" t="s">
        <v>32</v>
      </c>
      <c r="R80" s="7" t="s">
        <v>33</v>
      </c>
      <c r="S80" s="7" t="s">
        <v>34</v>
      </c>
      <c r="T80" s="7"/>
      <c r="U80" s="7" t="s">
        <v>35</v>
      </c>
      <c r="V80" s="9">
        <v>22822.73</v>
      </c>
      <c r="W80" s="9">
        <v>9841.16</v>
      </c>
      <c r="X80" s="9">
        <v>9088.01</v>
      </c>
      <c r="Y80" s="7">
        <v>0</v>
      </c>
      <c r="Z80" s="9">
        <v>3893.56</v>
      </c>
    </row>
    <row r="81" spans="1:26" x14ac:dyDescent="0.35">
      <c r="A81" s="7" t="s">
        <v>27</v>
      </c>
      <c r="B81" s="7" t="s">
        <v>43</v>
      </c>
      <c r="C81" s="7" t="s">
        <v>50</v>
      </c>
      <c r="D81" s="7" t="s">
        <v>95</v>
      </c>
      <c r="E81" s="7" t="s">
        <v>29</v>
      </c>
      <c r="F81" s="7" t="s">
        <v>194</v>
      </c>
      <c r="G81" s="7">
        <v>2021</v>
      </c>
      <c r="H81" s="7" t="str">
        <f>CONCATENATE("14240333295")</f>
        <v>14240333295</v>
      </c>
      <c r="I81" s="7" t="s">
        <v>30</v>
      </c>
      <c r="J81" s="7" t="s">
        <v>31</v>
      </c>
      <c r="K81" s="7" t="str">
        <f>CONCATENATE("")</f>
        <v/>
      </c>
      <c r="L81" s="7" t="str">
        <f>CONCATENATE("11 11.2 4b")</f>
        <v>11 11.2 4b</v>
      </c>
      <c r="M81" s="7" t="str">
        <f>CONCATENATE("ZGGPLB66S30I156Z")</f>
        <v>ZGGPLB66S30I156Z</v>
      </c>
      <c r="N81" s="7" t="s">
        <v>195</v>
      </c>
      <c r="O81" s="7" t="s">
        <v>139</v>
      </c>
      <c r="P81" s="8">
        <v>44545</v>
      </c>
      <c r="Q81" s="7" t="s">
        <v>32</v>
      </c>
      <c r="R81" s="7" t="s">
        <v>33</v>
      </c>
      <c r="S81" s="7" t="s">
        <v>34</v>
      </c>
      <c r="T81" s="7"/>
      <c r="U81" s="7" t="s">
        <v>35</v>
      </c>
      <c r="V81" s="9">
        <v>1652.63</v>
      </c>
      <c r="W81" s="7">
        <v>712.61</v>
      </c>
      <c r="X81" s="7">
        <v>658.08</v>
      </c>
      <c r="Y81" s="7">
        <v>0</v>
      </c>
      <c r="Z81" s="7">
        <v>281.94</v>
      </c>
    </row>
    <row r="82" spans="1:26" x14ac:dyDescent="0.35">
      <c r="A82" s="7" t="s">
        <v>27</v>
      </c>
      <c r="B82" s="7" t="s">
        <v>43</v>
      </c>
      <c r="C82" s="7" t="s">
        <v>50</v>
      </c>
      <c r="D82" s="7" t="s">
        <v>95</v>
      </c>
      <c r="E82" s="7" t="s">
        <v>41</v>
      </c>
      <c r="F82" s="7" t="s">
        <v>142</v>
      </c>
      <c r="G82" s="7">
        <v>2021</v>
      </c>
      <c r="H82" s="7" t="str">
        <f>CONCATENATE("14241369751")</f>
        <v>14241369751</v>
      </c>
      <c r="I82" s="7" t="s">
        <v>30</v>
      </c>
      <c r="J82" s="7" t="s">
        <v>31</v>
      </c>
      <c r="K82" s="7" t="str">
        <f>CONCATENATE("")</f>
        <v/>
      </c>
      <c r="L82" s="7" t="str">
        <f>CONCATENATE("11 11.2 4b")</f>
        <v>11 11.2 4b</v>
      </c>
      <c r="M82" s="7" t="str">
        <f>CONCATENATE("01914370430")</f>
        <v>01914370430</v>
      </c>
      <c r="N82" s="7" t="s">
        <v>96</v>
      </c>
      <c r="O82" s="7" t="s">
        <v>139</v>
      </c>
      <c r="P82" s="8">
        <v>44545</v>
      </c>
      <c r="Q82" s="7" t="s">
        <v>32</v>
      </c>
      <c r="R82" s="7" t="s">
        <v>33</v>
      </c>
      <c r="S82" s="7" t="s">
        <v>34</v>
      </c>
      <c r="T82" s="7"/>
      <c r="U82" s="7" t="s">
        <v>35</v>
      </c>
      <c r="V82" s="9">
        <v>2608.88</v>
      </c>
      <c r="W82" s="9">
        <v>1124.95</v>
      </c>
      <c r="X82" s="9">
        <v>1038.8599999999999</v>
      </c>
      <c r="Y82" s="7">
        <v>0</v>
      </c>
      <c r="Z82" s="7">
        <v>445.07</v>
      </c>
    </row>
    <row r="83" spans="1:26" x14ac:dyDescent="0.35">
      <c r="A83" s="7" t="s">
        <v>27</v>
      </c>
      <c r="B83" s="7" t="s">
        <v>43</v>
      </c>
      <c r="C83" s="7" t="s">
        <v>50</v>
      </c>
      <c r="D83" s="7" t="s">
        <v>95</v>
      </c>
      <c r="E83" s="7" t="s">
        <v>41</v>
      </c>
      <c r="F83" s="7" t="s">
        <v>149</v>
      </c>
      <c r="G83" s="7">
        <v>2021</v>
      </c>
      <c r="H83" s="7" t="str">
        <f>CONCATENATE("14240552803")</f>
        <v>14240552803</v>
      </c>
      <c r="I83" s="7" t="s">
        <v>30</v>
      </c>
      <c r="J83" s="7" t="s">
        <v>31</v>
      </c>
      <c r="K83" s="7" t="str">
        <f>CONCATENATE("")</f>
        <v/>
      </c>
      <c r="L83" s="7" t="str">
        <f>CONCATENATE("11 11.2 4b")</f>
        <v>11 11.2 4b</v>
      </c>
      <c r="M83" s="7" t="str">
        <f>CONCATENATE("01866910431")</f>
        <v>01866910431</v>
      </c>
      <c r="N83" s="7" t="s">
        <v>196</v>
      </c>
      <c r="O83" s="7" t="s">
        <v>139</v>
      </c>
      <c r="P83" s="8">
        <v>44545</v>
      </c>
      <c r="Q83" s="7" t="s">
        <v>32</v>
      </c>
      <c r="R83" s="7" t="s">
        <v>33</v>
      </c>
      <c r="S83" s="7" t="s">
        <v>34</v>
      </c>
      <c r="T83" s="7"/>
      <c r="U83" s="7" t="s">
        <v>35</v>
      </c>
      <c r="V83" s="9">
        <v>4285.92</v>
      </c>
      <c r="W83" s="9">
        <v>1848.09</v>
      </c>
      <c r="X83" s="9">
        <v>1706.65</v>
      </c>
      <c r="Y83" s="7">
        <v>0</v>
      </c>
      <c r="Z83" s="7">
        <v>731.18</v>
      </c>
    </row>
    <row r="84" spans="1:26" x14ac:dyDescent="0.35">
      <c r="A84" s="7" t="s">
        <v>27</v>
      </c>
      <c r="B84" s="7" t="s">
        <v>43</v>
      </c>
      <c r="C84" s="7" t="s">
        <v>50</v>
      </c>
      <c r="D84" s="7" t="s">
        <v>95</v>
      </c>
      <c r="E84" s="7" t="s">
        <v>29</v>
      </c>
      <c r="F84" s="7" t="s">
        <v>147</v>
      </c>
      <c r="G84" s="7">
        <v>2021</v>
      </c>
      <c r="H84" s="7" t="str">
        <f>CONCATENATE("14241194811")</f>
        <v>14241194811</v>
      </c>
      <c r="I84" s="7" t="s">
        <v>30</v>
      </c>
      <c r="J84" s="7" t="s">
        <v>31</v>
      </c>
      <c r="K84" s="7" t="str">
        <f>CONCATENATE("")</f>
        <v/>
      </c>
      <c r="L84" s="7" t="str">
        <f>CONCATENATE("11 11.2 4b")</f>
        <v>11 11.2 4b</v>
      </c>
      <c r="M84" s="7" t="str">
        <f>CONCATENATE("NGLMRK78A11B474J")</f>
        <v>NGLMRK78A11B474J</v>
      </c>
      <c r="N84" s="7" t="s">
        <v>197</v>
      </c>
      <c r="O84" s="7" t="s">
        <v>139</v>
      </c>
      <c r="P84" s="8">
        <v>44545</v>
      </c>
      <c r="Q84" s="7" t="s">
        <v>32</v>
      </c>
      <c r="R84" s="7" t="s">
        <v>33</v>
      </c>
      <c r="S84" s="7" t="s">
        <v>34</v>
      </c>
      <c r="T84" s="7"/>
      <c r="U84" s="7" t="s">
        <v>35</v>
      </c>
      <c r="V84" s="9">
        <v>1795.48</v>
      </c>
      <c r="W84" s="7">
        <v>774.21</v>
      </c>
      <c r="X84" s="7">
        <v>714.96</v>
      </c>
      <c r="Y84" s="7">
        <v>0</v>
      </c>
      <c r="Z84" s="7">
        <v>306.31</v>
      </c>
    </row>
    <row r="85" spans="1:26" x14ac:dyDescent="0.35">
      <c r="A85" s="7" t="s">
        <v>27</v>
      </c>
      <c r="B85" s="7" t="s">
        <v>43</v>
      </c>
      <c r="C85" s="7" t="s">
        <v>50</v>
      </c>
      <c r="D85" s="7" t="s">
        <v>95</v>
      </c>
      <c r="E85" s="7" t="s">
        <v>29</v>
      </c>
      <c r="F85" s="7" t="s">
        <v>147</v>
      </c>
      <c r="G85" s="7">
        <v>2021</v>
      </c>
      <c r="H85" s="7" t="str">
        <f>CONCATENATE("14241193375")</f>
        <v>14241193375</v>
      </c>
      <c r="I85" s="7" t="s">
        <v>30</v>
      </c>
      <c r="J85" s="7" t="s">
        <v>31</v>
      </c>
      <c r="K85" s="7" t="str">
        <f>CONCATENATE("")</f>
        <v/>
      </c>
      <c r="L85" s="7" t="str">
        <f>CONCATENATE("11 11.2 4b")</f>
        <v>11 11.2 4b</v>
      </c>
      <c r="M85" s="7" t="str">
        <f>CONCATENATE("NGLMRK78A11B474J")</f>
        <v>NGLMRK78A11B474J</v>
      </c>
      <c r="N85" s="7" t="s">
        <v>197</v>
      </c>
      <c r="O85" s="7" t="s">
        <v>139</v>
      </c>
      <c r="P85" s="8">
        <v>44545</v>
      </c>
      <c r="Q85" s="7" t="s">
        <v>32</v>
      </c>
      <c r="R85" s="7" t="s">
        <v>33</v>
      </c>
      <c r="S85" s="7" t="s">
        <v>34</v>
      </c>
      <c r="T85" s="7"/>
      <c r="U85" s="7" t="s">
        <v>35</v>
      </c>
      <c r="V85" s="9">
        <v>4598.1400000000003</v>
      </c>
      <c r="W85" s="9">
        <v>1982.72</v>
      </c>
      <c r="X85" s="9">
        <v>1830.98</v>
      </c>
      <c r="Y85" s="7">
        <v>0</v>
      </c>
      <c r="Z85" s="7">
        <v>784.44</v>
      </c>
    </row>
    <row r="86" spans="1:26" x14ac:dyDescent="0.35">
      <c r="A86" s="7" t="s">
        <v>27</v>
      </c>
      <c r="B86" s="7" t="s">
        <v>43</v>
      </c>
      <c r="C86" s="7" t="s">
        <v>50</v>
      </c>
      <c r="D86" s="7" t="s">
        <v>95</v>
      </c>
      <c r="E86" s="7" t="s">
        <v>36</v>
      </c>
      <c r="F86" s="7" t="s">
        <v>184</v>
      </c>
      <c r="G86" s="7">
        <v>2021</v>
      </c>
      <c r="H86" s="7" t="str">
        <f>CONCATENATE("14240447046")</f>
        <v>14240447046</v>
      </c>
      <c r="I86" s="7" t="s">
        <v>30</v>
      </c>
      <c r="J86" s="7" t="s">
        <v>31</v>
      </c>
      <c r="K86" s="7" t="str">
        <f>CONCATENATE("")</f>
        <v/>
      </c>
      <c r="L86" s="7" t="str">
        <f>CONCATENATE("11 11.2 4b")</f>
        <v>11 11.2 4b</v>
      </c>
      <c r="M86" s="7" t="str">
        <f>CONCATENATE("CNGGST60B24A271E")</f>
        <v>CNGGST60B24A271E</v>
      </c>
      <c r="N86" s="7" t="s">
        <v>198</v>
      </c>
      <c r="O86" s="7" t="s">
        <v>139</v>
      </c>
      <c r="P86" s="8">
        <v>44545</v>
      </c>
      <c r="Q86" s="7" t="s">
        <v>32</v>
      </c>
      <c r="R86" s="7" t="s">
        <v>33</v>
      </c>
      <c r="S86" s="7" t="s">
        <v>34</v>
      </c>
      <c r="T86" s="7"/>
      <c r="U86" s="7" t="s">
        <v>35</v>
      </c>
      <c r="V86" s="9">
        <v>7177.45</v>
      </c>
      <c r="W86" s="9">
        <v>3094.92</v>
      </c>
      <c r="X86" s="9">
        <v>2858.06</v>
      </c>
      <c r="Y86" s="7">
        <v>0</v>
      </c>
      <c r="Z86" s="9">
        <v>1224.47</v>
      </c>
    </row>
    <row r="87" spans="1:26" x14ac:dyDescent="0.35">
      <c r="A87" s="7" t="s">
        <v>27</v>
      </c>
      <c r="B87" s="7" t="s">
        <v>43</v>
      </c>
      <c r="C87" s="7" t="s">
        <v>50</v>
      </c>
      <c r="D87" s="7" t="s">
        <v>95</v>
      </c>
      <c r="E87" s="7" t="s">
        <v>41</v>
      </c>
      <c r="F87" s="7" t="s">
        <v>142</v>
      </c>
      <c r="G87" s="7">
        <v>2021</v>
      </c>
      <c r="H87" s="7" t="str">
        <f>CONCATENATE("14241219550")</f>
        <v>14241219550</v>
      </c>
      <c r="I87" s="7" t="s">
        <v>30</v>
      </c>
      <c r="J87" s="7" t="s">
        <v>31</v>
      </c>
      <c r="K87" s="7" t="str">
        <f>CONCATENATE("")</f>
        <v/>
      </c>
      <c r="L87" s="7" t="str">
        <f>CONCATENATE("11 11.2 4b")</f>
        <v>11 11.2 4b</v>
      </c>
      <c r="M87" s="7" t="str">
        <f>CONCATENATE("PLTJCP99T09I156U")</f>
        <v>PLTJCP99T09I156U</v>
      </c>
      <c r="N87" s="7" t="s">
        <v>199</v>
      </c>
      <c r="O87" s="7" t="s">
        <v>139</v>
      </c>
      <c r="P87" s="8">
        <v>44545</v>
      </c>
      <c r="Q87" s="7" t="s">
        <v>32</v>
      </c>
      <c r="R87" s="7" t="s">
        <v>33</v>
      </c>
      <c r="S87" s="7" t="s">
        <v>34</v>
      </c>
      <c r="T87" s="7"/>
      <c r="U87" s="7" t="s">
        <v>35</v>
      </c>
      <c r="V87" s="9">
        <v>2888.89</v>
      </c>
      <c r="W87" s="9">
        <v>1245.69</v>
      </c>
      <c r="X87" s="9">
        <v>1150.3599999999999</v>
      </c>
      <c r="Y87" s="7">
        <v>0</v>
      </c>
      <c r="Z87" s="7">
        <v>492.84</v>
      </c>
    </row>
    <row r="88" spans="1:26" x14ac:dyDescent="0.35">
      <c r="A88" s="7" t="s">
        <v>27</v>
      </c>
      <c r="B88" s="7" t="s">
        <v>43</v>
      </c>
      <c r="C88" s="7" t="s">
        <v>50</v>
      </c>
      <c r="D88" s="7" t="s">
        <v>95</v>
      </c>
      <c r="E88" s="7" t="s">
        <v>41</v>
      </c>
      <c r="F88" s="7" t="s">
        <v>142</v>
      </c>
      <c r="G88" s="7">
        <v>2021</v>
      </c>
      <c r="H88" s="7" t="str">
        <f>CONCATENATE("14241378547")</f>
        <v>14241378547</v>
      </c>
      <c r="I88" s="7" t="s">
        <v>30</v>
      </c>
      <c r="J88" s="7" t="s">
        <v>31</v>
      </c>
      <c r="K88" s="7" t="str">
        <f>CONCATENATE("")</f>
        <v/>
      </c>
      <c r="L88" s="7" t="str">
        <f>CONCATENATE("11 11.2 4b")</f>
        <v>11 11.2 4b</v>
      </c>
      <c r="M88" s="7" t="str">
        <f>CONCATENATE("TSTLCU77B06B474R")</f>
        <v>TSTLCU77B06B474R</v>
      </c>
      <c r="N88" s="7" t="s">
        <v>200</v>
      </c>
      <c r="O88" s="7" t="s">
        <v>139</v>
      </c>
      <c r="P88" s="8">
        <v>44545</v>
      </c>
      <c r="Q88" s="7" t="s">
        <v>32</v>
      </c>
      <c r="R88" s="7" t="s">
        <v>33</v>
      </c>
      <c r="S88" s="7" t="s">
        <v>34</v>
      </c>
      <c r="T88" s="7"/>
      <c r="U88" s="7" t="s">
        <v>35</v>
      </c>
      <c r="V88" s="9">
        <v>10766.41</v>
      </c>
      <c r="W88" s="9">
        <v>4642.4799999999996</v>
      </c>
      <c r="X88" s="9">
        <v>4287.18</v>
      </c>
      <c r="Y88" s="7">
        <v>0</v>
      </c>
      <c r="Z88" s="9">
        <v>1836.75</v>
      </c>
    </row>
    <row r="89" spans="1:26" x14ac:dyDescent="0.35">
      <c r="A89" s="7" t="s">
        <v>27</v>
      </c>
      <c r="B89" s="7" t="s">
        <v>43</v>
      </c>
      <c r="C89" s="7" t="s">
        <v>50</v>
      </c>
      <c r="D89" s="7" t="s">
        <v>95</v>
      </c>
      <c r="E89" s="7" t="s">
        <v>29</v>
      </c>
      <c r="F89" s="7" t="s">
        <v>147</v>
      </c>
      <c r="G89" s="7">
        <v>2021</v>
      </c>
      <c r="H89" s="7" t="str">
        <f>CONCATENATE("14240206301")</f>
        <v>14240206301</v>
      </c>
      <c r="I89" s="7" t="s">
        <v>30</v>
      </c>
      <c r="J89" s="7" t="s">
        <v>31</v>
      </c>
      <c r="K89" s="7" t="str">
        <f>CONCATENATE("")</f>
        <v/>
      </c>
      <c r="L89" s="7" t="str">
        <f>CONCATENATE("11 11.1 4b")</f>
        <v>11 11.1 4b</v>
      </c>
      <c r="M89" s="7" t="str">
        <f>CONCATENATE("RLABBR79D52B474D")</f>
        <v>RLABBR79D52B474D</v>
      </c>
      <c r="N89" s="7" t="s">
        <v>201</v>
      </c>
      <c r="O89" s="7" t="s">
        <v>139</v>
      </c>
      <c r="P89" s="8">
        <v>44545</v>
      </c>
      <c r="Q89" s="7" t="s">
        <v>32</v>
      </c>
      <c r="R89" s="7" t="s">
        <v>33</v>
      </c>
      <c r="S89" s="7" t="s">
        <v>34</v>
      </c>
      <c r="T89" s="7"/>
      <c r="U89" s="7" t="s">
        <v>35</v>
      </c>
      <c r="V89" s="9">
        <v>3082.15</v>
      </c>
      <c r="W89" s="9">
        <v>1329.02</v>
      </c>
      <c r="X89" s="9">
        <v>1227.31</v>
      </c>
      <c r="Y89" s="7">
        <v>0</v>
      </c>
      <c r="Z89" s="7">
        <v>525.82000000000005</v>
      </c>
    </row>
    <row r="90" spans="1:26" x14ac:dyDescent="0.35">
      <c r="A90" s="7" t="s">
        <v>27</v>
      </c>
      <c r="B90" s="7" t="s">
        <v>43</v>
      </c>
      <c r="C90" s="7" t="s">
        <v>50</v>
      </c>
      <c r="D90" s="7" t="s">
        <v>59</v>
      </c>
      <c r="E90" s="7" t="s">
        <v>36</v>
      </c>
      <c r="F90" s="7" t="s">
        <v>202</v>
      </c>
      <c r="G90" s="7">
        <v>2021</v>
      </c>
      <c r="H90" s="7" t="str">
        <f>CONCATENATE("14240287046")</f>
        <v>14240287046</v>
      </c>
      <c r="I90" s="7" t="s">
        <v>30</v>
      </c>
      <c r="J90" s="7" t="s">
        <v>31</v>
      </c>
      <c r="K90" s="7" t="str">
        <f>CONCATENATE("")</f>
        <v/>
      </c>
      <c r="L90" s="7" t="str">
        <f>CONCATENATE("10 10.1 4a")</f>
        <v>10 10.1 4a</v>
      </c>
      <c r="M90" s="7" t="str">
        <f>CONCATENATE("RBZPLA78A17L736L")</f>
        <v>RBZPLA78A17L736L</v>
      </c>
      <c r="N90" s="7" t="s">
        <v>203</v>
      </c>
      <c r="O90" s="7" t="s">
        <v>204</v>
      </c>
      <c r="P90" s="8">
        <v>44544</v>
      </c>
      <c r="Q90" s="7" t="s">
        <v>32</v>
      </c>
      <c r="R90" s="7" t="s">
        <v>33</v>
      </c>
      <c r="S90" s="7" t="s">
        <v>34</v>
      </c>
      <c r="T90" s="7"/>
      <c r="U90" s="7" t="s">
        <v>35</v>
      </c>
      <c r="V90" s="7">
        <v>881.84</v>
      </c>
      <c r="W90" s="7">
        <v>380.25</v>
      </c>
      <c r="X90" s="7">
        <v>351.15</v>
      </c>
      <c r="Y90" s="7">
        <v>0</v>
      </c>
      <c r="Z90" s="7">
        <v>150.44</v>
      </c>
    </row>
    <row r="91" spans="1:26" x14ac:dyDescent="0.35">
      <c r="A91" s="7" t="s">
        <v>27</v>
      </c>
      <c r="B91" s="7" t="s">
        <v>43</v>
      </c>
      <c r="C91" s="7" t="s">
        <v>50</v>
      </c>
      <c r="D91" s="7" t="s">
        <v>59</v>
      </c>
      <c r="E91" s="7" t="s">
        <v>29</v>
      </c>
      <c r="F91" s="7" t="s">
        <v>205</v>
      </c>
      <c r="G91" s="7">
        <v>2021</v>
      </c>
      <c r="H91" s="7" t="str">
        <f>CONCATENATE("14211164372")</f>
        <v>14211164372</v>
      </c>
      <c r="I91" s="7" t="s">
        <v>30</v>
      </c>
      <c r="J91" s="7" t="s">
        <v>31</v>
      </c>
      <c r="K91" s="7" t="str">
        <f>CONCATENATE("")</f>
        <v/>
      </c>
      <c r="L91" s="7" t="str">
        <f>CONCATENATE("13 13.1 4a")</f>
        <v>13 13.1 4a</v>
      </c>
      <c r="M91" s="7" t="str">
        <f>CONCATENATE("MRCLSS96M20A462T")</f>
        <v>MRCLSS96M20A462T</v>
      </c>
      <c r="N91" s="7" t="s">
        <v>206</v>
      </c>
      <c r="O91" s="7" t="s">
        <v>175</v>
      </c>
      <c r="P91" s="8">
        <v>44546</v>
      </c>
      <c r="Q91" s="7" t="s">
        <v>32</v>
      </c>
      <c r="R91" s="7" t="s">
        <v>33</v>
      </c>
      <c r="S91" s="7" t="s">
        <v>34</v>
      </c>
      <c r="T91" s="7"/>
      <c r="U91" s="7" t="s">
        <v>35</v>
      </c>
      <c r="V91" s="9">
        <v>1516.9</v>
      </c>
      <c r="W91" s="7">
        <v>654.09</v>
      </c>
      <c r="X91" s="7">
        <v>604.03</v>
      </c>
      <c r="Y91" s="7">
        <v>0</v>
      </c>
      <c r="Z91" s="7">
        <v>258.77999999999997</v>
      </c>
    </row>
    <row r="92" spans="1:26" x14ac:dyDescent="0.35">
      <c r="A92" s="7" t="s">
        <v>27</v>
      </c>
      <c r="B92" s="7" t="s">
        <v>43</v>
      </c>
      <c r="C92" s="7" t="s">
        <v>50</v>
      </c>
      <c r="D92" s="7" t="s">
        <v>95</v>
      </c>
      <c r="E92" s="7" t="s">
        <v>41</v>
      </c>
      <c r="F92" s="7" t="s">
        <v>149</v>
      </c>
      <c r="G92" s="7">
        <v>2021</v>
      </c>
      <c r="H92" s="7" t="str">
        <f>CONCATENATE("14210390184")</f>
        <v>14210390184</v>
      </c>
      <c r="I92" s="7" t="s">
        <v>30</v>
      </c>
      <c r="J92" s="7" t="s">
        <v>31</v>
      </c>
      <c r="K92" s="7" t="str">
        <f>CONCATENATE("")</f>
        <v/>
      </c>
      <c r="L92" s="7" t="str">
        <f>CONCATENATE("13 13.1 4a")</f>
        <v>13 13.1 4a</v>
      </c>
      <c r="M92" s="7" t="str">
        <f>CONCATENATE("PGTRNZ50T10B474K")</f>
        <v>PGTRNZ50T10B474K</v>
      </c>
      <c r="N92" s="7" t="s">
        <v>207</v>
      </c>
      <c r="O92" s="7" t="s">
        <v>175</v>
      </c>
      <c r="P92" s="8">
        <v>44546</v>
      </c>
      <c r="Q92" s="7" t="s">
        <v>32</v>
      </c>
      <c r="R92" s="7" t="s">
        <v>33</v>
      </c>
      <c r="S92" s="7" t="s">
        <v>34</v>
      </c>
      <c r="T92" s="7"/>
      <c r="U92" s="7" t="s">
        <v>35</v>
      </c>
      <c r="V92" s="9">
        <v>1978.28</v>
      </c>
      <c r="W92" s="7">
        <v>853.03</v>
      </c>
      <c r="X92" s="7">
        <v>787.75</v>
      </c>
      <c r="Y92" s="7">
        <v>0</v>
      </c>
      <c r="Z92" s="7">
        <v>337.5</v>
      </c>
    </row>
    <row r="93" spans="1:26" ht="17.5" x14ac:dyDescent="0.35">
      <c r="A93" s="7" t="s">
        <v>27</v>
      </c>
      <c r="B93" s="7" t="s">
        <v>43</v>
      </c>
      <c r="C93" s="7" t="s">
        <v>50</v>
      </c>
      <c r="D93" s="7" t="s">
        <v>55</v>
      </c>
      <c r="E93" s="7" t="s">
        <v>38</v>
      </c>
      <c r="F93" s="7" t="s">
        <v>178</v>
      </c>
      <c r="G93" s="7">
        <v>2021</v>
      </c>
      <c r="H93" s="7" t="str">
        <f>CONCATENATE("14210962362")</f>
        <v>14210962362</v>
      </c>
      <c r="I93" s="7" t="s">
        <v>30</v>
      </c>
      <c r="J93" s="7" t="s">
        <v>31</v>
      </c>
      <c r="K93" s="7" t="str">
        <f>CONCATENATE("")</f>
        <v/>
      </c>
      <c r="L93" s="7" t="str">
        <f>CONCATENATE("13 13.1 4a")</f>
        <v>13 13.1 4a</v>
      </c>
      <c r="M93" s="7" t="str">
        <f>CONCATENATE("02102240419")</f>
        <v>02102240419</v>
      </c>
      <c r="N93" s="7" t="s">
        <v>208</v>
      </c>
      <c r="O93" s="7" t="s">
        <v>175</v>
      </c>
      <c r="P93" s="8">
        <v>44546</v>
      </c>
      <c r="Q93" s="7" t="s">
        <v>32</v>
      </c>
      <c r="R93" s="7" t="s">
        <v>33</v>
      </c>
      <c r="S93" s="7" t="s">
        <v>34</v>
      </c>
      <c r="T93" s="7"/>
      <c r="U93" s="7" t="s">
        <v>35</v>
      </c>
      <c r="V93" s="7">
        <v>394.78</v>
      </c>
      <c r="W93" s="7">
        <v>170.23</v>
      </c>
      <c r="X93" s="7">
        <v>157.19999999999999</v>
      </c>
      <c r="Y93" s="7">
        <v>0</v>
      </c>
      <c r="Z93" s="7">
        <v>67.349999999999994</v>
      </c>
    </row>
    <row r="94" spans="1:26" x14ac:dyDescent="0.35">
      <c r="A94" s="7" t="s">
        <v>27</v>
      </c>
      <c r="B94" s="7" t="s">
        <v>43</v>
      </c>
      <c r="C94" s="7" t="s">
        <v>50</v>
      </c>
      <c r="D94" s="7" t="s">
        <v>95</v>
      </c>
      <c r="E94" s="7" t="s">
        <v>41</v>
      </c>
      <c r="F94" s="7" t="s">
        <v>149</v>
      </c>
      <c r="G94" s="7">
        <v>2021</v>
      </c>
      <c r="H94" s="7" t="str">
        <f>CONCATENATE("14210366507")</f>
        <v>14210366507</v>
      </c>
      <c r="I94" s="7" t="s">
        <v>30</v>
      </c>
      <c r="J94" s="7" t="s">
        <v>31</v>
      </c>
      <c r="K94" s="7" t="str">
        <f>CONCATENATE("")</f>
        <v/>
      </c>
      <c r="L94" s="7" t="str">
        <f>CONCATENATE("13 13.1 4a")</f>
        <v>13 13.1 4a</v>
      </c>
      <c r="M94" s="7" t="str">
        <f>CONCATENATE("01013470438")</f>
        <v>01013470438</v>
      </c>
      <c r="N94" s="7" t="s">
        <v>209</v>
      </c>
      <c r="O94" s="7" t="s">
        <v>175</v>
      </c>
      <c r="P94" s="8">
        <v>44546</v>
      </c>
      <c r="Q94" s="7" t="s">
        <v>32</v>
      </c>
      <c r="R94" s="7" t="s">
        <v>33</v>
      </c>
      <c r="S94" s="7" t="s">
        <v>34</v>
      </c>
      <c r="T94" s="7"/>
      <c r="U94" s="7" t="s">
        <v>35</v>
      </c>
      <c r="V94" s="9">
        <v>8883.0499999999993</v>
      </c>
      <c r="W94" s="9">
        <v>3830.37</v>
      </c>
      <c r="X94" s="9">
        <v>3537.23</v>
      </c>
      <c r="Y94" s="7">
        <v>0</v>
      </c>
      <c r="Z94" s="9">
        <v>1515.45</v>
      </c>
    </row>
    <row r="95" spans="1:26" x14ac:dyDescent="0.35">
      <c r="A95" s="7" t="s">
        <v>27</v>
      </c>
      <c r="B95" s="7" t="s">
        <v>43</v>
      </c>
      <c r="C95" s="7" t="s">
        <v>50</v>
      </c>
      <c r="D95" s="7" t="s">
        <v>55</v>
      </c>
      <c r="E95" s="7" t="s">
        <v>29</v>
      </c>
      <c r="F95" s="7" t="s">
        <v>56</v>
      </c>
      <c r="G95" s="7">
        <v>2021</v>
      </c>
      <c r="H95" s="7" t="str">
        <f>CONCATENATE("14210067196")</f>
        <v>14210067196</v>
      </c>
      <c r="I95" s="7" t="s">
        <v>30</v>
      </c>
      <c r="J95" s="7" t="s">
        <v>31</v>
      </c>
      <c r="K95" s="7" t="str">
        <f>CONCATENATE("")</f>
        <v/>
      </c>
      <c r="L95" s="7" t="str">
        <f>CONCATENATE("13 13.1 4a")</f>
        <v>13 13.1 4a</v>
      </c>
      <c r="M95" s="7" t="str">
        <f>CONCATENATE("SPRGPL37A11E351J")</f>
        <v>SPRGPL37A11E351J</v>
      </c>
      <c r="N95" s="7" t="s">
        <v>210</v>
      </c>
      <c r="O95" s="7" t="s">
        <v>175</v>
      </c>
      <c r="P95" s="8">
        <v>44546</v>
      </c>
      <c r="Q95" s="7" t="s">
        <v>32</v>
      </c>
      <c r="R95" s="7" t="s">
        <v>33</v>
      </c>
      <c r="S95" s="7" t="s">
        <v>34</v>
      </c>
      <c r="T95" s="7"/>
      <c r="U95" s="7" t="s">
        <v>35</v>
      </c>
      <c r="V95" s="7">
        <v>969.58</v>
      </c>
      <c r="W95" s="7">
        <v>418.08</v>
      </c>
      <c r="X95" s="7">
        <v>386.09</v>
      </c>
      <c r="Y95" s="7">
        <v>0</v>
      </c>
      <c r="Z95" s="7">
        <v>165.41</v>
      </c>
    </row>
    <row r="96" spans="1:26" x14ac:dyDescent="0.35">
      <c r="A96" s="7" t="s">
        <v>27</v>
      </c>
      <c r="B96" s="7" t="s">
        <v>43</v>
      </c>
      <c r="C96" s="7" t="s">
        <v>50</v>
      </c>
      <c r="D96" s="7" t="s">
        <v>55</v>
      </c>
      <c r="E96" s="7" t="s">
        <v>29</v>
      </c>
      <c r="F96" s="7" t="s">
        <v>211</v>
      </c>
      <c r="G96" s="7">
        <v>2021</v>
      </c>
      <c r="H96" s="7" t="str">
        <f>CONCATENATE("14210185790")</f>
        <v>14210185790</v>
      </c>
      <c r="I96" s="7" t="s">
        <v>30</v>
      </c>
      <c r="J96" s="7" t="s">
        <v>31</v>
      </c>
      <c r="K96" s="7" t="str">
        <f>CONCATENATE("")</f>
        <v/>
      </c>
      <c r="L96" s="7" t="str">
        <f>CONCATENATE("13 13.1 4a")</f>
        <v>13 13.1 4a</v>
      </c>
      <c r="M96" s="7" t="str">
        <f>CONCATENATE("PRCGMC59A12D808R")</f>
        <v>PRCGMC59A12D808R</v>
      </c>
      <c r="N96" s="7" t="s">
        <v>212</v>
      </c>
      <c r="O96" s="7" t="s">
        <v>175</v>
      </c>
      <c r="P96" s="8">
        <v>44546</v>
      </c>
      <c r="Q96" s="7" t="s">
        <v>32</v>
      </c>
      <c r="R96" s="7" t="s">
        <v>33</v>
      </c>
      <c r="S96" s="7" t="s">
        <v>34</v>
      </c>
      <c r="T96" s="7"/>
      <c r="U96" s="7" t="s">
        <v>35</v>
      </c>
      <c r="V96" s="9">
        <v>1750.16</v>
      </c>
      <c r="W96" s="7">
        <v>754.67</v>
      </c>
      <c r="X96" s="7">
        <v>696.91</v>
      </c>
      <c r="Y96" s="7">
        <v>0</v>
      </c>
      <c r="Z96" s="7">
        <v>298.58</v>
      </c>
    </row>
    <row r="97" spans="1:26" x14ac:dyDescent="0.35">
      <c r="A97" s="7" t="s">
        <v>27</v>
      </c>
      <c r="B97" s="7" t="s">
        <v>43</v>
      </c>
      <c r="C97" s="7" t="s">
        <v>50</v>
      </c>
      <c r="D97" s="7" t="s">
        <v>51</v>
      </c>
      <c r="E97" s="7" t="s">
        <v>29</v>
      </c>
      <c r="F97" s="7" t="s">
        <v>213</v>
      </c>
      <c r="G97" s="7">
        <v>2021</v>
      </c>
      <c r="H97" s="7" t="str">
        <f>CONCATENATE("14210464211")</f>
        <v>14210464211</v>
      </c>
      <c r="I97" s="7" t="s">
        <v>30</v>
      </c>
      <c r="J97" s="7" t="s">
        <v>31</v>
      </c>
      <c r="K97" s="7" t="str">
        <f>CONCATENATE("")</f>
        <v/>
      </c>
      <c r="L97" s="7" t="str">
        <f>CONCATENATE("13 13.1 4a")</f>
        <v>13 13.1 4a</v>
      </c>
      <c r="M97" s="7" t="str">
        <f>CONCATENATE("BZZRND55A01D965U")</f>
        <v>BZZRND55A01D965U</v>
      </c>
      <c r="N97" s="7" t="s">
        <v>214</v>
      </c>
      <c r="O97" s="7" t="s">
        <v>175</v>
      </c>
      <c r="P97" s="8">
        <v>44546</v>
      </c>
      <c r="Q97" s="7" t="s">
        <v>32</v>
      </c>
      <c r="R97" s="7" t="s">
        <v>33</v>
      </c>
      <c r="S97" s="7" t="s">
        <v>34</v>
      </c>
      <c r="T97" s="7"/>
      <c r="U97" s="7" t="s">
        <v>35</v>
      </c>
      <c r="V97" s="9">
        <v>4186.5</v>
      </c>
      <c r="W97" s="9">
        <v>1805.22</v>
      </c>
      <c r="X97" s="9">
        <v>1667.06</v>
      </c>
      <c r="Y97" s="7">
        <v>0</v>
      </c>
      <c r="Z97" s="7">
        <v>714.22</v>
      </c>
    </row>
    <row r="98" spans="1:26" x14ac:dyDescent="0.35">
      <c r="A98" s="7" t="s">
        <v>27</v>
      </c>
      <c r="B98" s="7" t="s">
        <v>43</v>
      </c>
      <c r="C98" s="7" t="s">
        <v>50</v>
      </c>
      <c r="D98" s="7" t="s">
        <v>59</v>
      </c>
      <c r="E98" s="7" t="s">
        <v>29</v>
      </c>
      <c r="F98" s="7" t="s">
        <v>60</v>
      </c>
      <c r="G98" s="7">
        <v>2021</v>
      </c>
      <c r="H98" s="7" t="str">
        <f>CONCATENATE("14241211334")</f>
        <v>14241211334</v>
      </c>
      <c r="I98" s="7" t="s">
        <v>30</v>
      </c>
      <c r="J98" s="7" t="s">
        <v>31</v>
      </c>
      <c r="K98" s="7" t="str">
        <f>CONCATENATE("")</f>
        <v/>
      </c>
      <c r="L98" s="7" t="str">
        <f>CONCATENATE("10 10.1 4a")</f>
        <v>10 10.1 4a</v>
      </c>
      <c r="M98" s="7" t="str">
        <f>CONCATENATE("BRDRSN69E12D542A")</f>
        <v>BRDRSN69E12D542A</v>
      </c>
      <c r="N98" s="7" t="s">
        <v>215</v>
      </c>
      <c r="O98" s="7" t="s">
        <v>204</v>
      </c>
      <c r="P98" s="8">
        <v>44544</v>
      </c>
      <c r="Q98" s="7" t="s">
        <v>32</v>
      </c>
      <c r="R98" s="7" t="s">
        <v>33</v>
      </c>
      <c r="S98" s="7" t="s">
        <v>34</v>
      </c>
      <c r="T98" s="7"/>
      <c r="U98" s="7" t="s">
        <v>35</v>
      </c>
      <c r="V98" s="7">
        <v>214.76</v>
      </c>
      <c r="W98" s="7">
        <v>92.6</v>
      </c>
      <c r="X98" s="7">
        <v>85.52</v>
      </c>
      <c r="Y98" s="7">
        <v>0</v>
      </c>
      <c r="Z98" s="7">
        <v>36.64</v>
      </c>
    </row>
    <row r="99" spans="1:26" x14ac:dyDescent="0.35">
      <c r="A99" s="7" t="s">
        <v>27</v>
      </c>
      <c r="B99" s="7" t="s">
        <v>43</v>
      </c>
      <c r="C99" s="7" t="s">
        <v>50</v>
      </c>
      <c r="D99" s="7" t="s">
        <v>59</v>
      </c>
      <c r="E99" s="7" t="s">
        <v>36</v>
      </c>
      <c r="F99" s="7" t="s">
        <v>202</v>
      </c>
      <c r="G99" s="7">
        <v>2021</v>
      </c>
      <c r="H99" s="7" t="str">
        <f>CONCATENATE("14240429994")</f>
        <v>14240429994</v>
      </c>
      <c r="I99" s="7" t="s">
        <v>30</v>
      </c>
      <c r="J99" s="7" t="s">
        <v>31</v>
      </c>
      <c r="K99" s="7" t="str">
        <f>CONCATENATE("")</f>
        <v/>
      </c>
      <c r="L99" s="7" t="str">
        <f>CONCATENATE("10 10.1 4a")</f>
        <v>10 10.1 4a</v>
      </c>
      <c r="M99" s="7" t="str">
        <f>CONCATENATE("PRSSFN88A23A462D")</f>
        <v>PRSSFN88A23A462D</v>
      </c>
      <c r="N99" s="7" t="s">
        <v>216</v>
      </c>
      <c r="O99" s="7" t="s">
        <v>204</v>
      </c>
      <c r="P99" s="8">
        <v>44544</v>
      </c>
      <c r="Q99" s="7" t="s">
        <v>32</v>
      </c>
      <c r="R99" s="7" t="s">
        <v>33</v>
      </c>
      <c r="S99" s="7" t="s">
        <v>34</v>
      </c>
      <c r="T99" s="7"/>
      <c r="U99" s="7" t="s">
        <v>35</v>
      </c>
      <c r="V99" s="7">
        <v>534.36</v>
      </c>
      <c r="W99" s="7">
        <v>230.42</v>
      </c>
      <c r="X99" s="7">
        <v>212.78</v>
      </c>
      <c r="Y99" s="7">
        <v>0</v>
      </c>
      <c r="Z99" s="7">
        <v>91.16</v>
      </c>
    </row>
    <row r="100" spans="1:26" x14ac:dyDescent="0.35">
      <c r="A100" s="7" t="s">
        <v>27</v>
      </c>
      <c r="B100" s="7" t="s">
        <v>43</v>
      </c>
      <c r="C100" s="7" t="s">
        <v>50</v>
      </c>
      <c r="D100" s="7" t="s">
        <v>59</v>
      </c>
      <c r="E100" s="7" t="s">
        <v>29</v>
      </c>
      <c r="F100" s="7" t="s">
        <v>60</v>
      </c>
      <c r="G100" s="7">
        <v>2021</v>
      </c>
      <c r="H100" s="7" t="str">
        <f>CONCATENATE("14241080911")</f>
        <v>14241080911</v>
      </c>
      <c r="I100" s="7" t="s">
        <v>30</v>
      </c>
      <c r="J100" s="7" t="s">
        <v>31</v>
      </c>
      <c r="K100" s="7" t="str">
        <f>CONCATENATE("")</f>
        <v/>
      </c>
      <c r="L100" s="7" t="str">
        <f>CONCATENATE("10 10.1 4a")</f>
        <v>10 10.1 4a</v>
      </c>
      <c r="M100" s="7" t="str">
        <f>CONCATENATE("VTISMN91C08C770O")</f>
        <v>VTISMN91C08C770O</v>
      </c>
      <c r="N100" s="7" t="s">
        <v>217</v>
      </c>
      <c r="O100" s="7" t="s">
        <v>204</v>
      </c>
      <c r="P100" s="8">
        <v>44544</v>
      </c>
      <c r="Q100" s="7" t="s">
        <v>32</v>
      </c>
      <c r="R100" s="7" t="s">
        <v>33</v>
      </c>
      <c r="S100" s="7" t="s">
        <v>34</v>
      </c>
      <c r="T100" s="7"/>
      <c r="U100" s="7" t="s">
        <v>35</v>
      </c>
      <c r="V100" s="9">
        <v>1762.48</v>
      </c>
      <c r="W100" s="7">
        <v>759.98</v>
      </c>
      <c r="X100" s="7">
        <v>701.82</v>
      </c>
      <c r="Y100" s="7">
        <v>0</v>
      </c>
      <c r="Z100" s="7">
        <v>300.68</v>
      </c>
    </row>
    <row r="101" spans="1:26" x14ac:dyDescent="0.35">
      <c r="A101" s="7" t="s">
        <v>27</v>
      </c>
      <c r="B101" s="7" t="s">
        <v>43</v>
      </c>
      <c r="C101" s="7" t="s">
        <v>50</v>
      </c>
      <c r="D101" s="7" t="s">
        <v>95</v>
      </c>
      <c r="E101" s="7" t="s">
        <v>41</v>
      </c>
      <c r="F101" s="7" t="s">
        <v>142</v>
      </c>
      <c r="G101" s="7">
        <v>2021</v>
      </c>
      <c r="H101" s="7" t="str">
        <f>CONCATENATE("14240778101")</f>
        <v>14240778101</v>
      </c>
      <c r="I101" s="7" t="s">
        <v>30</v>
      </c>
      <c r="J101" s="7" t="s">
        <v>31</v>
      </c>
      <c r="K101" s="7" t="str">
        <f>CONCATENATE("")</f>
        <v/>
      </c>
      <c r="L101" s="7" t="str">
        <f>CONCATENATE("10 10.1 4a")</f>
        <v>10 10.1 4a</v>
      </c>
      <c r="M101" s="7" t="str">
        <f>CONCATENATE("01741610438")</f>
        <v>01741610438</v>
      </c>
      <c r="N101" s="7" t="s">
        <v>218</v>
      </c>
      <c r="O101" s="7" t="s">
        <v>219</v>
      </c>
      <c r="P101" s="8">
        <v>44545</v>
      </c>
      <c r="Q101" s="7" t="s">
        <v>32</v>
      </c>
      <c r="R101" s="7" t="s">
        <v>33</v>
      </c>
      <c r="S101" s="7" t="s">
        <v>34</v>
      </c>
      <c r="T101" s="7"/>
      <c r="U101" s="7" t="s">
        <v>35</v>
      </c>
      <c r="V101" s="9">
        <v>1425.32</v>
      </c>
      <c r="W101" s="7">
        <v>614.6</v>
      </c>
      <c r="X101" s="7">
        <v>567.55999999999995</v>
      </c>
      <c r="Y101" s="7">
        <v>0</v>
      </c>
      <c r="Z101" s="7">
        <v>243.16</v>
      </c>
    </row>
    <row r="102" spans="1:26" x14ac:dyDescent="0.35">
      <c r="A102" s="7" t="s">
        <v>27</v>
      </c>
      <c r="B102" s="7" t="s">
        <v>43</v>
      </c>
      <c r="C102" s="7" t="s">
        <v>50</v>
      </c>
      <c r="D102" s="7" t="s">
        <v>95</v>
      </c>
      <c r="E102" s="7" t="s">
        <v>41</v>
      </c>
      <c r="F102" s="7" t="s">
        <v>142</v>
      </c>
      <c r="G102" s="7">
        <v>2021</v>
      </c>
      <c r="H102" s="7" t="str">
        <f>CONCATENATE("14241032185")</f>
        <v>14241032185</v>
      </c>
      <c r="I102" s="7" t="s">
        <v>30</v>
      </c>
      <c r="J102" s="7" t="s">
        <v>31</v>
      </c>
      <c r="K102" s="7" t="str">
        <f>CONCATENATE("")</f>
        <v/>
      </c>
      <c r="L102" s="7" t="str">
        <f>CONCATENATE("10 10.1 4a")</f>
        <v>10 10.1 4a</v>
      </c>
      <c r="M102" s="7" t="str">
        <f>CONCATENATE("01913780431")</f>
        <v>01913780431</v>
      </c>
      <c r="N102" s="7" t="s">
        <v>220</v>
      </c>
      <c r="O102" s="7" t="s">
        <v>219</v>
      </c>
      <c r="P102" s="8">
        <v>44545</v>
      </c>
      <c r="Q102" s="7" t="s">
        <v>32</v>
      </c>
      <c r="R102" s="7" t="s">
        <v>33</v>
      </c>
      <c r="S102" s="7" t="s">
        <v>34</v>
      </c>
      <c r="T102" s="7"/>
      <c r="U102" s="7" t="s">
        <v>35</v>
      </c>
      <c r="V102" s="9">
        <v>1585.71</v>
      </c>
      <c r="W102" s="7">
        <v>683.76</v>
      </c>
      <c r="X102" s="7">
        <v>631.42999999999995</v>
      </c>
      <c r="Y102" s="7">
        <v>0</v>
      </c>
      <c r="Z102" s="7">
        <v>270.52</v>
      </c>
    </row>
    <row r="103" spans="1:26" x14ac:dyDescent="0.35">
      <c r="A103" s="7" t="s">
        <v>27</v>
      </c>
      <c r="B103" s="7" t="s">
        <v>43</v>
      </c>
      <c r="C103" s="7" t="s">
        <v>50</v>
      </c>
      <c r="D103" s="7" t="s">
        <v>95</v>
      </c>
      <c r="E103" s="7" t="s">
        <v>41</v>
      </c>
      <c r="F103" s="7" t="s">
        <v>142</v>
      </c>
      <c r="G103" s="7">
        <v>2021</v>
      </c>
      <c r="H103" s="7" t="str">
        <f>CONCATENATE("14240311762")</f>
        <v>14240311762</v>
      </c>
      <c r="I103" s="7" t="s">
        <v>30</v>
      </c>
      <c r="J103" s="7" t="s">
        <v>31</v>
      </c>
      <c r="K103" s="7" t="str">
        <f>CONCATENATE("")</f>
        <v/>
      </c>
      <c r="L103" s="7" t="str">
        <f>CONCATENATE("10 10.1 4a")</f>
        <v>10 10.1 4a</v>
      </c>
      <c r="M103" s="7" t="str">
        <f>CONCATENATE("LRINTN48E17F567J")</f>
        <v>LRINTN48E17F567J</v>
      </c>
      <c r="N103" s="7" t="s">
        <v>221</v>
      </c>
      <c r="O103" s="7" t="s">
        <v>219</v>
      </c>
      <c r="P103" s="8">
        <v>44545</v>
      </c>
      <c r="Q103" s="7" t="s">
        <v>32</v>
      </c>
      <c r="R103" s="7" t="s">
        <v>33</v>
      </c>
      <c r="S103" s="7" t="s">
        <v>34</v>
      </c>
      <c r="T103" s="7"/>
      <c r="U103" s="7" t="s">
        <v>35</v>
      </c>
      <c r="V103" s="7">
        <v>884.96</v>
      </c>
      <c r="W103" s="7">
        <v>381.59</v>
      </c>
      <c r="X103" s="7">
        <v>352.39</v>
      </c>
      <c r="Y103" s="7">
        <v>0</v>
      </c>
      <c r="Z103" s="7">
        <v>150.97999999999999</v>
      </c>
    </row>
    <row r="104" spans="1:26" x14ac:dyDescent="0.35">
      <c r="A104" s="7" t="s">
        <v>27</v>
      </c>
      <c r="B104" s="7" t="s">
        <v>43</v>
      </c>
      <c r="C104" s="7" t="s">
        <v>50</v>
      </c>
      <c r="D104" s="7" t="s">
        <v>95</v>
      </c>
      <c r="E104" s="7" t="s">
        <v>41</v>
      </c>
      <c r="F104" s="7" t="s">
        <v>142</v>
      </c>
      <c r="G104" s="7">
        <v>2021</v>
      </c>
      <c r="H104" s="7" t="str">
        <f>CONCATENATE("14240397100")</f>
        <v>14240397100</v>
      </c>
      <c r="I104" s="7" t="s">
        <v>30</v>
      </c>
      <c r="J104" s="7" t="s">
        <v>31</v>
      </c>
      <c r="K104" s="7" t="str">
        <f>CONCATENATE("")</f>
        <v/>
      </c>
      <c r="L104" s="7" t="str">
        <f>CONCATENATE("10 10.1 4a")</f>
        <v>10 10.1 4a</v>
      </c>
      <c r="M104" s="7" t="str">
        <f>CONCATENATE("SLVGNN58D26C886F")</f>
        <v>SLVGNN58D26C886F</v>
      </c>
      <c r="N104" s="7" t="s">
        <v>222</v>
      </c>
      <c r="O104" s="7" t="s">
        <v>219</v>
      </c>
      <c r="P104" s="8">
        <v>44545</v>
      </c>
      <c r="Q104" s="7" t="s">
        <v>32</v>
      </c>
      <c r="R104" s="7" t="s">
        <v>33</v>
      </c>
      <c r="S104" s="7" t="s">
        <v>34</v>
      </c>
      <c r="T104" s="7"/>
      <c r="U104" s="7" t="s">
        <v>35</v>
      </c>
      <c r="V104" s="7">
        <v>401.28</v>
      </c>
      <c r="W104" s="7">
        <v>173.03</v>
      </c>
      <c r="X104" s="7">
        <v>159.79</v>
      </c>
      <c r="Y104" s="7">
        <v>0</v>
      </c>
      <c r="Z104" s="7">
        <v>68.459999999999994</v>
      </c>
    </row>
    <row r="105" spans="1:26" x14ac:dyDescent="0.35">
      <c r="A105" s="7" t="s">
        <v>27</v>
      </c>
      <c r="B105" s="7" t="s">
        <v>43</v>
      </c>
      <c r="C105" s="7" t="s">
        <v>50</v>
      </c>
      <c r="D105" s="7" t="s">
        <v>95</v>
      </c>
      <c r="E105" s="7" t="s">
        <v>41</v>
      </c>
      <c r="F105" s="7" t="s">
        <v>142</v>
      </c>
      <c r="G105" s="7">
        <v>2021</v>
      </c>
      <c r="H105" s="7" t="str">
        <f>CONCATENATE("14240315342")</f>
        <v>14240315342</v>
      </c>
      <c r="I105" s="7" t="s">
        <v>30</v>
      </c>
      <c r="J105" s="7" t="s">
        <v>31</v>
      </c>
      <c r="K105" s="7" t="str">
        <f>CONCATENATE("")</f>
        <v/>
      </c>
      <c r="L105" s="7" t="str">
        <f>CONCATENATE("10 10.1 4a")</f>
        <v>10 10.1 4a</v>
      </c>
      <c r="M105" s="7" t="str">
        <f>CONCATENATE("MSCMRA53L25I156U")</f>
        <v>MSCMRA53L25I156U</v>
      </c>
      <c r="N105" s="7" t="s">
        <v>223</v>
      </c>
      <c r="O105" s="7" t="s">
        <v>219</v>
      </c>
      <c r="P105" s="8">
        <v>44545</v>
      </c>
      <c r="Q105" s="7" t="s">
        <v>32</v>
      </c>
      <c r="R105" s="7" t="s">
        <v>33</v>
      </c>
      <c r="S105" s="7" t="s">
        <v>34</v>
      </c>
      <c r="T105" s="7"/>
      <c r="U105" s="7" t="s">
        <v>35</v>
      </c>
      <c r="V105" s="7">
        <v>332.36</v>
      </c>
      <c r="W105" s="7">
        <v>143.31</v>
      </c>
      <c r="X105" s="7">
        <v>132.35</v>
      </c>
      <c r="Y105" s="7">
        <v>0</v>
      </c>
      <c r="Z105" s="7">
        <v>56.7</v>
      </c>
    </row>
    <row r="106" spans="1:26" x14ac:dyDescent="0.35">
      <c r="A106" s="7" t="s">
        <v>27</v>
      </c>
      <c r="B106" s="7" t="s">
        <v>43</v>
      </c>
      <c r="C106" s="7" t="s">
        <v>50</v>
      </c>
      <c r="D106" s="7" t="s">
        <v>59</v>
      </c>
      <c r="E106" s="7" t="s">
        <v>29</v>
      </c>
      <c r="F106" s="7" t="s">
        <v>224</v>
      </c>
      <c r="G106" s="7">
        <v>2021</v>
      </c>
      <c r="H106" s="7" t="str">
        <f>CONCATENATE("14240102906")</f>
        <v>14240102906</v>
      </c>
      <c r="I106" s="7" t="s">
        <v>30</v>
      </c>
      <c r="J106" s="7" t="s">
        <v>31</v>
      </c>
      <c r="K106" s="7" t="str">
        <f>CONCATENATE("")</f>
        <v/>
      </c>
      <c r="L106" s="7" t="str">
        <f>CONCATENATE("11 11.2 4b")</f>
        <v>11 11.2 4b</v>
      </c>
      <c r="M106" s="7" t="str">
        <f>CONCATENATE("MCZVCN49M26B534F")</f>
        <v>MCZVCN49M26B534F</v>
      </c>
      <c r="N106" s="7" t="s">
        <v>225</v>
      </c>
      <c r="O106" s="7" t="s">
        <v>166</v>
      </c>
      <c r="P106" s="8">
        <v>44546</v>
      </c>
      <c r="Q106" s="7" t="s">
        <v>32</v>
      </c>
      <c r="R106" s="7" t="s">
        <v>33</v>
      </c>
      <c r="S106" s="7" t="s">
        <v>34</v>
      </c>
      <c r="T106" s="7"/>
      <c r="U106" s="7" t="s">
        <v>35</v>
      </c>
      <c r="V106" s="9">
        <v>2564.0700000000002</v>
      </c>
      <c r="W106" s="9">
        <v>1105.6300000000001</v>
      </c>
      <c r="X106" s="9">
        <v>1021.01</v>
      </c>
      <c r="Y106" s="7">
        <v>0</v>
      </c>
      <c r="Z106" s="7">
        <v>437.43</v>
      </c>
    </row>
    <row r="107" spans="1:26" x14ac:dyDescent="0.35">
      <c r="A107" s="7" t="s">
        <v>27</v>
      </c>
      <c r="B107" s="7" t="s">
        <v>43</v>
      </c>
      <c r="C107" s="7" t="s">
        <v>50</v>
      </c>
      <c r="D107" s="7" t="s">
        <v>55</v>
      </c>
      <c r="E107" s="7" t="s">
        <v>36</v>
      </c>
      <c r="F107" s="7" t="s">
        <v>226</v>
      </c>
      <c r="G107" s="7">
        <v>2021</v>
      </c>
      <c r="H107" s="7" t="str">
        <f>CONCATENATE("14241564153")</f>
        <v>14241564153</v>
      </c>
      <c r="I107" s="7" t="s">
        <v>30</v>
      </c>
      <c r="J107" s="7" t="s">
        <v>31</v>
      </c>
      <c r="K107" s="7" t="str">
        <f>CONCATENATE("")</f>
        <v/>
      </c>
      <c r="L107" s="7" t="str">
        <f>CONCATENATE("14 14.1 3a")</f>
        <v>14 14.1 3a</v>
      </c>
      <c r="M107" s="7" t="str">
        <f>CONCATENATE("BNDLCU60H23G479K")</f>
        <v>BNDLCU60H23G479K</v>
      </c>
      <c r="N107" s="7" t="s">
        <v>227</v>
      </c>
      <c r="O107" s="7" t="s">
        <v>168</v>
      </c>
      <c r="P107" s="8">
        <v>44543</v>
      </c>
      <c r="Q107" s="7" t="s">
        <v>32</v>
      </c>
      <c r="R107" s="7" t="s">
        <v>33</v>
      </c>
      <c r="S107" s="7" t="s">
        <v>34</v>
      </c>
      <c r="T107" s="7"/>
      <c r="U107" s="7" t="s">
        <v>35</v>
      </c>
      <c r="V107" s="9">
        <v>16550</v>
      </c>
      <c r="W107" s="9">
        <v>7136.36</v>
      </c>
      <c r="X107" s="9">
        <v>6590.21</v>
      </c>
      <c r="Y107" s="7">
        <v>0</v>
      </c>
      <c r="Z107" s="9">
        <v>2823.43</v>
      </c>
    </row>
    <row r="108" spans="1:26" x14ac:dyDescent="0.35">
      <c r="A108" s="7" t="s">
        <v>27</v>
      </c>
      <c r="B108" s="7" t="s">
        <v>43</v>
      </c>
      <c r="C108" s="7" t="s">
        <v>50</v>
      </c>
      <c r="D108" s="7" t="s">
        <v>55</v>
      </c>
      <c r="E108" s="7" t="s">
        <v>44</v>
      </c>
      <c r="F108" s="7" t="s">
        <v>228</v>
      </c>
      <c r="G108" s="7">
        <v>2021</v>
      </c>
      <c r="H108" s="7" t="str">
        <f>CONCATENATE("14241501163")</f>
        <v>14241501163</v>
      </c>
      <c r="I108" s="7" t="s">
        <v>30</v>
      </c>
      <c r="J108" s="7" t="s">
        <v>31</v>
      </c>
      <c r="K108" s="7" t="str">
        <f>CONCATENATE("")</f>
        <v/>
      </c>
      <c r="L108" s="7" t="str">
        <f>CONCATENATE("14 14.1 3a")</f>
        <v>14 14.1 3a</v>
      </c>
      <c r="M108" s="7" t="str">
        <f>CONCATENATE("TNGMRA53S69H958N")</f>
        <v>TNGMRA53S69H958N</v>
      </c>
      <c r="N108" s="7" t="s">
        <v>229</v>
      </c>
      <c r="O108" s="7" t="s">
        <v>168</v>
      </c>
      <c r="P108" s="8">
        <v>44543</v>
      </c>
      <c r="Q108" s="7" t="s">
        <v>32</v>
      </c>
      <c r="R108" s="7" t="s">
        <v>33</v>
      </c>
      <c r="S108" s="7" t="s">
        <v>34</v>
      </c>
      <c r="T108" s="7"/>
      <c r="U108" s="7" t="s">
        <v>35</v>
      </c>
      <c r="V108" s="9">
        <v>11040</v>
      </c>
      <c r="W108" s="9">
        <v>4760.45</v>
      </c>
      <c r="X108" s="9">
        <v>4396.13</v>
      </c>
      <c r="Y108" s="7">
        <v>0</v>
      </c>
      <c r="Z108" s="9">
        <v>1883.42</v>
      </c>
    </row>
    <row r="109" spans="1:26" x14ac:dyDescent="0.35">
      <c r="A109" s="7" t="s">
        <v>27</v>
      </c>
      <c r="B109" s="7" t="s">
        <v>43</v>
      </c>
      <c r="C109" s="7" t="s">
        <v>50</v>
      </c>
      <c r="D109" s="7" t="s">
        <v>55</v>
      </c>
      <c r="E109" s="7" t="s">
        <v>29</v>
      </c>
      <c r="F109" s="7" t="s">
        <v>230</v>
      </c>
      <c r="G109" s="7">
        <v>2021</v>
      </c>
      <c r="H109" s="7" t="str">
        <f>CONCATENATE("14240377938")</f>
        <v>14240377938</v>
      </c>
      <c r="I109" s="7" t="s">
        <v>30</v>
      </c>
      <c r="J109" s="7" t="s">
        <v>31</v>
      </c>
      <c r="K109" s="7" t="str">
        <f>CONCATENATE("")</f>
        <v/>
      </c>
      <c r="L109" s="7" t="str">
        <f>CONCATENATE("14 14.1 3a")</f>
        <v>14 14.1 3a</v>
      </c>
      <c r="M109" s="7" t="str">
        <f>CONCATENATE("00414160416")</f>
        <v>00414160416</v>
      </c>
      <c r="N109" s="7" t="s">
        <v>231</v>
      </c>
      <c r="O109" s="7" t="s">
        <v>168</v>
      </c>
      <c r="P109" s="8">
        <v>44543</v>
      </c>
      <c r="Q109" s="7" t="s">
        <v>32</v>
      </c>
      <c r="R109" s="7" t="s">
        <v>33</v>
      </c>
      <c r="S109" s="7" t="s">
        <v>34</v>
      </c>
      <c r="T109" s="7"/>
      <c r="U109" s="7" t="s">
        <v>35</v>
      </c>
      <c r="V109" s="9">
        <v>17082.900000000001</v>
      </c>
      <c r="W109" s="9">
        <v>7366.15</v>
      </c>
      <c r="X109" s="9">
        <v>6802.41</v>
      </c>
      <c r="Y109" s="7">
        <v>0</v>
      </c>
      <c r="Z109" s="9">
        <v>2914.34</v>
      </c>
    </row>
    <row r="110" spans="1:26" x14ac:dyDescent="0.35">
      <c r="A110" s="7" t="s">
        <v>27</v>
      </c>
      <c r="B110" s="7" t="s">
        <v>43</v>
      </c>
      <c r="C110" s="7" t="s">
        <v>50</v>
      </c>
      <c r="D110" s="7" t="s">
        <v>55</v>
      </c>
      <c r="E110" s="7" t="s">
        <v>49</v>
      </c>
      <c r="F110" s="7" t="s">
        <v>232</v>
      </c>
      <c r="G110" s="7">
        <v>2021</v>
      </c>
      <c r="H110" s="7" t="str">
        <f>CONCATENATE("14241181032")</f>
        <v>14241181032</v>
      </c>
      <c r="I110" s="7" t="s">
        <v>30</v>
      </c>
      <c r="J110" s="7" t="s">
        <v>31</v>
      </c>
      <c r="K110" s="7" t="str">
        <f>CONCATENATE("")</f>
        <v/>
      </c>
      <c r="L110" s="7" t="str">
        <f>CONCATENATE("14 14.1 3a")</f>
        <v>14 14.1 3a</v>
      </c>
      <c r="M110" s="7" t="str">
        <f>CONCATENATE("02681090417")</f>
        <v>02681090417</v>
      </c>
      <c r="N110" s="7" t="s">
        <v>233</v>
      </c>
      <c r="O110" s="7" t="s">
        <v>168</v>
      </c>
      <c r="P110" s="8">
        <v>44543</v>
      </c>
      <c r="Q110" s="7" t="s">
        <v>32</v>
      </c>
      <c r="R110" s="7" t="s">
        <v>33</v>
      </c>
      <c r="S110" s="7" t="s">
        <v>34</v>
      </c>
      <c r="T110" s="7"/>
      <c r="U110" s="7" t="s">
        <v>35</v>
      </c>
      <c r="V110" s="9">
        <v>7792.2</v>
      </c>
      <c r="W110" s="9">
        <v>3360</v>
      </c>
      <c r="X110" s="9">
        <v>3102.85</v>
      </c>
      <c r="Y110" s="7">
        <v>0</v>
      </c>
      <c r="Z110" s="9">
        <v>1329.35</v>
      </c>
    </row>
    <row r="111" spans="1:26" x14ac:dyDescent="0.35">
      <c r="A111" s="7" t="s">
        <v>27</v>
      </c>
      <c r="B111" s="7" t="s">
        <v>43</v>
      </c>
      <c r="C111" s="7" t="s">
        <v>50</v>
      </c>
      <c r="D111" s="7" t="s">
        <v>95</v>
      </c>
      <c r="E111" s="7" t="s">
        <v>29</v>
      </c>
      <c r="F111" s="7" t="s">
        <v>147</v>
      </c>
      <c r="G111" s="7">
        <v>2021</v>
      </c>
      <c r="H111" s="7" t="str">
        <f>CONCATENATE("14240980020")</f>
        <v>14240980020</v>
      </c>
      <c r="I111" s="7" t="s">
        <v>30</v>
      </c>
      <c r="J111" s="7" t="s">
        <v>31</v>
      </c>
      <c r="K111" s="7" t="str">
        <f>CONCATENATE("")</f>
        <v/>
      </c>
      <c r="L111" s="7" t="str">
        <f>CONCATENATE("14 14.1 3a")</f>
        <v>14 14.1 3a</v>
      </c>
      <c r="M111" s="7" t="str">
        <f>CONCATENATE("SBRDNC63A07B474E")</f>
        <v>SBRDNC63A07B474E</v>
      </c>
      <c r="N111" s="7" t="s">
        <v>234</v>
      </c>
      <c r="O111" s="7" t="s">
        <v>168</v>
      </c>
      <c r="P111" s="8">
        <v>44543</v>
      </c>
      <c r="Q111" s="7" t="s">
        <v>32</v>
      </c>
      <c r="R111" s="7" t="s">
        <v>33</v>
      </c>
      <c r="S111" s="7" t="s">
        <v>34</v>
      </c>
      <c r="T111" s="7"/>
      <c r="U111" s="7" t="s">
        <v>35</v>
      </c>
      <c r="V111" s="9">
        <v>4875</v>
      </c>
      <c r="W111" s="9">
        <v>2102.1</v>
      </c>
      <c r="X111" s="9">
        <v>1941.23</v>
      </c>
      <c r="Y111" s="7">
        <v>0</v>
      </c>
      <c r="Z111" s="7">
        <v>831.67</v>
      </c>
    </row>
    <row r="112" spans="1:26" x14ac:dyDescent="0.35">
      <c r="A112" s="7" t="s">
        <v>27</v>
      </c>
      <c r="B112" s="7" t="s">
        <v>43</v>
      </c>
      <c r="C112" s="7" t="s">
        <v>50</v>
      </c>
      <c r="D112" s="7" t="s">
        <v>95</v>
      </c>
      <c r="E112" s="7" t="s">
        <v>29</v>
      </c>
      <c r="F112" s="7" t="s">
        <v>235</v>
      </c>
      <c r="G112" s="7">
        <v>2021</v>
      </c>
      <c r="H112" s="7" t="str">
        <f>CONCATENATE("14241390559")</f>
        <v>14241390559</v>
      </c>
      <c r="I112" s="7" t="s">
        <v>30</v>
      </c>
      <c r="J112" s="7" t="s">
        <v>31</v>
      </c>
      <c r="K112" s="7" t="str">
        <f>CONCATENATE("")</f>
        <v/>
      </c>
      <c r="L112" s="7" t="str">
        <f>CONCATENATE("14 14.1 3a")</f>
        <v>14 14.1 3a</v>
      </c>
      <c r="M112" s="7" t="str">
        <f>CONCATENATE("PCCGNN75R08D211D")</f>
        <v>PCCGNN75R08D211D</v>
      </c>
      <c r="N112" s="7" t="s">
        <v>236</v>
      </c>
      <c r="O112" s="7" t="s">
        <v>168</v>
      </c>
      <c r="P112" s="8">
        <v>44543</v>
      </c>
      <c r="Q112" s="7" t="s">
        <v>32</v>
      </c>
      <c r="R112" s="7" t="s">
        <v>33</v>
      </c>
      <c r="S112" s="7" t="s">
        <v>34</v>
      </c>
      <c r="T112" s="7"/>
      <c r="U112" s="7" t="s">
        <v>35</v>
      </c>
      <c r="V112" s="9">
        <v>13609.7</v>
      </c>
      <c r="W112" s="9">
        <v>5868.5</v>
      </c>
      <c r="X112" s="9">
        <v>5419.38</v>
      </c>
      <c r="Y112" s="7">
        <v>0</v>
      </c>
      <c r="Z112" s="9">
        <v>2321.8200000000002</v>
      </c>
    </row>
    <row r="113" spans="1:26" ht="17.5" x14ac:dyDescent="0.35">
      <c r="A113" s="7" t="s">
        <v>27</v>
      </c>
      <c r="B113" s="7" t="s">
        <v>43</v>
      </c>
      <c r="C113" s="7" t="s">
        <v>50</v>
      </c>
      <c r="D113" s="7" t="s">
        <v>55</v>
      </c>
      <c r="E113" s="7" t="s">
        <v>41</v>
      </c>
      <c r="F113" s="7" t="s">
        <v>73</v>
      </c>
      <c r="G113" s="7">
        <v>2021</v>
      </c>
      <c r="H113" s="7" t="str">
        <f>CONCATENATE("14240559105")</f>
        <v>14240559105</v>
      </c>
      <c r="I113" s="7" t="s">
        <v>30</v>
      </c>
      <c r="J113" s="7" t="s">
        <v>31</v>
      </c>
      <c r="K113" s="7" t="str">
        <f>CONCATENATE("")</f>
        <v/>
      </c>
      <c r="L113" s="7" t="str">
        <f>CONCATENATE("14 14.1 3a")</f>
        <v>14 14.1 3a</v>
      </c>
      <c r="M113" s="7" t="str">
        <f>CONCATENATE("02615600414")</f>
        <v>02615600414</v>
      </c>
      <c r="N113" s="7" t="s">
        <v>237</v>
      </c>
      <c r="O113" s="7" t="s">
        <v>168</v>
      </c>
      <c r="P113" s="8">
        <v>44543</v>
      </c>
      <c r="Q113" s="7" t="s">
        <v>32</v>
      </c>
      <c r="R113" s="7" t="s">
        <v>33</v>
      </c>
      <c r="S113" s="7" t="s">
        <v>34</v>
      </c>
      <c r="T113" s="7"/>
      <c r="U113" s="7" t="s">
        <v>35</v>
      </c>
      <c r="V113" s="9">
        <v>7160</v>
      </c>
      <c r="W113" s="9">
        <v>3087.39</v>
      </c>
      <c r="X113" s="9">
        <v>2851.11</v>
      </c>
      <c r="Y113" s="7">
        <v>0</v>
      </c>
      <c r="Z113" s="9">
        <v>1221.5</v>
      </c>
    </row>
    <row r="114" spans="1:26" x14ac:dyDescent="0.35">
      <c r="A114" s="7" t="s">
        <v>27</v>
      </c>
      <c r="B114" s="7" t="s">
        <v>43</v>
      </c>
      <c r="C114" s="7" t="s">
        <v>50</v>
      </c>
      <c r="D114" s="7" t="s">
        <v>55</v>
      </c>
      <c r="E114" s="7" t="s">
        <v>29</v>
      </c>
      <c r="F114" s="7" t="s">
        <v>67</v>
      </c>
      <c r="G114" s="7">
        <v>2021</v>
      </c>
      <c r="H114" s="7" t="str">
        <f>CONCATENATE("14240859067")</f>
        <v>14240859067</v>
      </c>
      <c r="I114" s="7" t="s">
        <v>30</v>
      </c>
      <c r="J114" s="7" t="s">
        <v>31</v>
      </c>
      <c r="K114" s="7" t="str">
        <f>CONCATENATE("")</f>
        <v/>
      </c>
      <c r="L114" s="7" t="str">
        <f>CONCATENATE("14 14.1 3a")</f>
        <v>14 14.1 3a</v>
      </c>
      <c r="M114" s="7" t="str">
        <f>CONCATENATE("GRDSMN88B14L500U")</f>
        <v>GRDSMN88B14L500U</v>
      </c>
      <c r="N114" s="7" t="s">
        <v>238</v>
      </c>
      <c r="O114" s="7" t="s">
        <v>168</v>
      </c>
      <c r="P114" s="8">
        <v>44543</v>
      </c>
      <c r="Q114" s="7" t="s">
        <v>32</v>
      </c>
      <c r="R114" s="7" t="s">
        <v>33</v>
      </c>
      <c r="S114" s="7" t="s">
        <v>34</v>
      </c>
      <c r="T114" s="7"/>
      <c r="U114" s="7" t="s">
        <v>35</v>
      </c>
      <c r="V114" s="7">
        <v>403.99</v>
      </c>
      <c r="W114" s="7">
        <v>174.2</v>
      </c>
      <c r="X114" s="7">
        <v>160.87</v>
      </c>
      <c r="Y114" s="7">
        <v>0</v>
      </c>
      <c r="Z114" s="7">
        <v>68.92</v>
      </c>
    </row>
    <row r="115" spans="1:26" x14ac:dyDescent="0.35">
      <c r="A115" s="7" t="s">
        <v>27</v>
      </c>
      <c r="B115" s="7" t="s">
        <v>43</v>
      </c>
      <c r="C115" s="7" t="s">
        <v>50</v>
      </c>
      <c r="D115" s="7" t="s">
        <v>55</v>
      </c>
      <c r="E115" s="7" t="s">
        <v>41</v>
      </c>
      <c r="F115" s="7" t="s">
        <v>98</v>
      </c>
      <c r="G115" s="7">
        <v>2021</v>
      </c>
      <c r="H115" s="7" t="str">
        <f>CONCATENATE("14241208454")</f>
        <v>14241208454</v>
      </c>
      <c r="I115" s="7" t="s">
        <v>30</v>
      </c>
      <c r="J115" s="7" t="s">
        <v>31</v>
      </c>
      <c r="K115" s="7" t="str">
        <f>CONCATENATE("")</f>
        <v/>
      </c>
      <c r="L115" s="7" t="str">
        <f>CONCATENATE("14 14.1 3a")</f>
        <v>14 14.1 3a</v>
      </c>
      <c r="M115" s="7" t="str">
        <f>CONCATENATE("MGNLNU80P52H294B")</f>
        <v>MGNLNU80P52H294B</v>
      </c>
      <c r="N115" s="7" t="s">
        <v>239</v>
      </c>
      <c r="O115" s="7" t="s">
        <v>168</v>
      </c>
      <c r="P115" s="8">
        <v>44543</v>
      </c>
      <c r="Q115" s="7" t="s">
        <v>32</v>
      </c>
      <c r="R115" s="7" t="s">
        <v>33</v>
      </c>
      <c r="S115" s="7" t="s">
        <v>34</v>
      </c>
      <c r="T115" s="7"/>
      <c r="U115" s="7" t="s">
        <v>35</v>
      </c>
      <c r="V115" s="9">
        <v>5891.8</v>
      </c>
      <c r="W115" s="9">
        <v>2540.54</v>
      </c>
      <c r="X115" s="9">
        <v>2346.11</v>
      </c>
      <c r="Y115" s="7">
        <v>0</v>
      </c>
      <c r="Z115" s="9">
        <v>1005.15</v>
      </c>
    </row>
    <row r="116" spans="1:26" x14ac:dyDescent="0.35">
      <c r="A116" s="7" t="s">
        <v>27</v>
      </c>
      <c r="B116" s="7" t="s">
        <v>43</v>
      </c>
      <c r="C116" s="7" t="s">
        <v>50</v>
      </c>
      <c r="D116" s="7" t="s">
        <v>55</v>
      </c>
      <c r="E116" s="7" t="s">
        <v>41</v>
      </c>
      <c r="F116" s="7" t="s">
        <v>73</v>
      </c>
      <c r="G116" s="7">
        <v>2021</v>
      </c>
      <c r="H116" s="7" t="str">
        <f>CONCATENATE("14240575317")</f>
        <v>14240575317</v>
      </c>
      <c r="I116" s="7" t="s">
        <v>30</v>
      </c>
      <c r="J116" s="7" t="s">
        <v>31</v>
      </c>
      <c r="K116" s="7" t="str">
        <f>CONCATENATE("")</f>
        <v/>
      </c>
      <c r="L116" s="7" t="str">
        <f>CONCATENATE("14 14.1 3a")</f>
        <v>14 14.1 3a</v>
      </c>
      <c r="M116" s="7" t="str">
        <f>CONCATENATE("02683880419")</f>
        <v>02683880419</v>
      </c>
      <c r="N116" s="7" t="s">
        <v>240</v>
      </c>
      <c r="O116" s="7" t="s">
        <v>168</v>
      </c>
      <c r="P116" s="8">
        <v>44543</v>
      </c>
      <c r="Q116" s="7" t="s">
        <v>32</v>
      </c>
      <c r="R116" s="7" t="s">
        <v>33</v>
      </c>
      <c r="S116" s="7" t="s">
        <v>34</v>
      </c>
      <c r="T116" s="7"/>
      <c r="U116" s="7" t="s">
        <v>35</v>
      </c>
      <c r="V116" s="9">
        <v>11388.6</v>
      </c>
      <c r="W116" s="9">
        <v>4910.76</v>
      </c>
      <c r="X116" s="9">
        <v>4534.9399999999996</v>
      </c>
      <c r="Y116" s="7">
        <v>0</v>
      </c>
      <c r="Z116" s="9">
        <v>1942.9</v>
      </c>
    </row>
    <row r="117" spans="1:26" x14ac:dyDescent="0.35">
      <c r="A117" s="7" t="s">
        <v>27</v>
      </c>
      <c r="B117" s="7" t="s">
        <v>43</v>
      </c>
      <c r="C117" s="7" t="s">
        <v>50</v>
      </c>
      <c r="D117" s="7" t="s">
        <v>55</v>
      </c>
      <c r="E117" s="7" t="s">
        <v>29</v>
      </c>
      <c r="F117" s="7" t="s">
        <v>230</v>
      </c>
      <c r="G117" s="7">
        <v>2021</v>
      </c>
      <c r="H117" s="7" t="str">
        <f>CONCATENATE("14240380544")</f>
        <v>14240380544</v>
      </c>
      <c r="I117" s="7" t="s">
        <v>30</v>
      </c>
      <c r="J117" s="7" t="s">
        <v>31</v>
      </c>
      <c r="K117" s="7" t="str">
        <f>CONCATENATE("")</f>
        <v/>
      </c>
      <c r="L117" s="7" t="str">
        <f>CONCATENATE("14 14.1 3a")</f>
        <v>14 14.1 3a</v>
      </c>
      <c r="M117" s="7" t="str">
        <f>CONCATENATE("02679820411")</f>
        <v>02679820411</v>
      </c>
      <c r="N117" s="7" t="s">
        <v>241</v>
      </c>
      <c r="O117" s="7" t="s">
        <v>168</v>
      </c>
      <c r="P117" s="8">
        <v>44543</v>
      </c>
      <c r="Q117" s="7" t="s">
        <v>32</v>
      </c>
      <c r="R117" s="7" t="s">
        <v>33</v>
      </c>
      <c r="S117" s="7" t="s">
        <v>34</v>
      </c>
      <c r="T117" s="7"/>
      <c r="U117" s="7" t="s">
        <v>35</v>
      </c>
      <c r="V117" s="9">
        <v>20620</v>
      </c>
      <c r="W117" s="9">
        <v>8891.34</v>
      </c>
      <c r="X117" s="9">
        <v>8210.8799999999992</v>
      </c>
      <c r="Y117" s="7">
        <v>0</v>
      </c>
      <c r="Z117" s="9">
        <v>3517.78</v>
      </c>
    </row>
    <row r="118" spans="1:26" ht="17.5" x14ac:dyDescent="0.35">
      <c r="A118" s="7" t="s">
        <v>27</v>
      </c>
      <c r="B118" s="7" t="s">
        <v>43</v>
      </c>
      <c r="C118" s="7" t="s">
        <v>50</v>
      </c>
      <c r="D118" s="7" t="s">
        <v>55</v>
      </c>
      <c r="E118" s="7" t="s">
        <v>29</v>
      </c>
      <c r="F118" s="7" t="s">
        <v>67</v>
      </c>
      <c r="G118" s="7">
        <v>2021</v>
      </c>
      <c r="H118" s="7" t="str">
        <f>CONCATENATE("14241152280")</f>
        <v>14241152280</v>
      </c>
      <c r="I118" s="7" t="s">
        <v>30</v>
      </c>
      <c r="J118" s="7" t="s">
        <v>31</v>
      </c>
      <c r="K118" s="7" t="str">
        <f>CONCATENATE("")</f>
        <v/>
      </c>
      <c r="L118" s="7" t="str">
        <f>CONCATENATE("14 14.1 3a")</f>
        <v>14 14.1 3a</v>
      </c>
      <c r="M118" s="7" t="str">
        <f>CONCATENATE("01382630414")</f>
        <v>01382630414</v>
      </c>
      <c r="N118" s="7" t="s">
        <v>242</v>
      </c>
      <c r="O118" s="7" t="s">
        <v>168</v>
      </c>
      <c r="P118" s="8">
        <v>44543</v>
      </c>
      <c r="Q118" s="7" t="s">
        <v>32</v>
      </c>
      <c r="R118" s="7" t="s">
        <v>33</v>
      </c>
      <c r="S118" s="7" t="s">
        <v>34</v>
      </c>
      <c r="T118" s="7"/>
      <c r="U118" s="7" t="s">
        <v>35</v>
      </c>
      <c r="V118" s="9">
        <v>10045.799999999999</v>
      </c>
      <c r="W118" s="9">
        <v>4331.75</v>
      </c>
      <c r="X118" s="9">
        <v>4000.24</v>
      </c>
      <c r="Y118" s="7">
        <v>0</v>
      </c>
      <c r="Z118" s="9">
        <v>1713.81</v>
      </c>
    </row>
    <row r="119" spans="1:26" x14ac:dyDescent="0.35">
      <c r="A119" s="7" t="s">
        <v>27</v>
      </c>
      <c r="B119" s="7" t="s">
        <v>43</v>
      </c>
      <c r="C119" s="7" t="s">
        <v>50</v>
      </c>
      <c r="D119" s="7" t="s">
        <v>51</v>
      </c>
      <c r="E119" s="7" t="s">
        <v>36</v>
      </c>
      <c r="F119" s="7" t="s">
        <v>243</v>
      </c>
      <c r="G119" s="7">
        <v>2021</v>
      </c>
      <c r="H119" s="7" t="str">
        <f>CONCATENATE("14210982592")</f>
        <v>14210982592</v>
      </c>
      <c r="I119" s="7" t="s">
        <v>30</v>
      </c>
      <c r="J119" s="7" t="s">
        <v>31</v>
      </c>
      <c r="K119" s="7" t="str">
        <f>CONCATENATE("")</f>
        <v/>
      </c>
      <c r="L119" s="7" t="str">
        <f>CONCATENATE("12 12.1 4a")</f>
        <v>12 12.1 4a</v>
      </c>
      <c r="M119" s="7" t="str">
        <f>CONCATENATE("02486560408")</f>
        <v>02486560408</v>
      </c>
      <c r="N119" s="7" t="s">
        <v>244</v>
      </c>
      <c r="O119" s="7" t="s">
        <v>173</v>
      </c>
      <c r="P119" s="8">
        <v>44544</v>
      </c>
      <c r="Q119" s="7" t="s">
        <v>32</v>
      </c>
      <c r="R119" s="7" t="s">
        <v>33</v>
      </c>
      <c r="S119" s="7" t="s">
        <v>34</v>
      </c>
      <c r="T119" s="7"/>
      <c r="U119" s="7" t="s">
        <v>35</v>
      </c>
      <c r="V119" s="9">
        <v>3613.38</v>
      </c>
      <c r="W119" s="9">
        <v>1558.09</v>
      </c>
      <c r="X119" s="9">
        <v>1438.85</v>
      </c>
      <c r="Y119" s="7">
        <v>0</v>
      </c>
      <c r="Z119" s="7">
        <v>616.44000000000005</v>
      </c>
    </row>
    <row r="120" spans="1:26" x14ac:dyDescent="0.35">
      <c r="A120" s="7" t="s">
        <v>27</v>
      </c>
      <c r="B120" s="7" t="s">
        <v>43</v>
      </c>
      <c r="C120" s="7" t="s">
        <v>50</v>
      </c>
      <c r="D120" s="7" t="s">
        <v>95</v>
      </c>
      <c r="E120" s="7" t="s">
        <v>29</v>
      </c>
      <c r="F120" s="7" t="s">
        <v>147</v>
      </c>
      <c r="G120" s="7">
        <v>2017</v>
      </c>
      <c r="H120" s="7" t="str">
        <f>CONCATENATE("74211619031")</f>
        <v>74211619031</v>
      </c>
      <c r="I120" s="7" t="s">
        <v>30</v>
      </c>
      <c r="J120" s="7" t="s">
        <v>31</v>
      </c>
      <c r="K120" s="7" t="str">
        <f>CONCATENATE("")</f>
        <v/>
      </c>
      <c r="L120" s="7" t="str">
        <f>CONCATENATE("13 13.1 4a")</f>
        <v>13 13.1 4a</v>
      </c>
      <c r="M120" s="7" t="str">
        <f>CONCATENATE("01588910438")</f>
        <v>01588910438</v>
      </c>
      <c r="N120" s="7" t="s">
        <v>245</v>
      </c>
      <c r="O120" s="7" t="s">
        <v>175</v>
      </c>
      <c r="P120" s="8">
        <v>44546</v>
      </c>
      <c r="Q120" s="7" t="s">
        <v>32</v>
      </c>
      <c r="R120" s="7" t="s">
        <v>33</v>
      </c>
      <c r="S120" s="7" t="s">
        <v>34</v>
      </c>
      <c r="T120" s="7"/>
      <c r="U120" s="7" t="s">
        <v>35</v>
      </c>
      <c r="V120" s="9">
        <v>2679.87</v>
      </c>
      <c r="W120" s="9">
        <v>1155.56</v>
      </c>
      <c r="X120" s="9">
        <v>1067.1199999999999</v>
      </c>
      <c r="Y120" s="7">
        <v>0</v>
      </c>
      <c r="Z120" s="7">
        <v>457.19</v>
      </c>
    </row>
    <row r="121" spans="1:26" x14ac:dyDescent="0.35">
      <c r="A121" s="7" t="s">
        <v>27</v>
      </c>
      <c r="B121" s="7" t="s">
        <v>43</v>
      </c>
      <c r="C121" s="7" t="s">
        <v>50</v>
      </c>
      <c r="D121" s="7" t="s">
        <v>95</v>
      </c>
      <c r="E121" s="7" t="s">
        <v>29</v>
      </c>
      <c r="F121" s="7" t="s">
        <v>147</v>
      </c>
      <c r="G121" s="7">
        <v>2020</v>
      </c>
      <c r="H121" s="7" t="str">
        <f>CONCATENATE("04210396315")</f>
        <v>04210396315</v>
      </c>
      <c r="I121" s="7" t="s">
        <v>30</v>
      </c>
      <c r="J121" s="7" t="s">
        <v>31</v>
      </c>
      <c r="K121" s="7" t="str">
        <f>CONCATENATE("")</f>
        <v/>
      </c>
      <c r="L121" s="7" t="str">
        <f>CONCATENATE("13 13.1 4a")</f>
        <v>13 13.1 4a</v>
      </c>
      <c r="M121" s="7" t="str">
        <f>CONCATENATE("NGLTRZ75H01B474R")</f>
        <v>NGLTRZ75H01B474R</v>
      </c>
      <c r="N121" s="7" t="s">
        <v>246</v>
      </c>
      <c r="O121" s="7" t="s">
        <v>175</v>
      </c>
      <c r="P121" s="8">
        <v>44546</v>
      </c>
      <c r="Q121" s="7" t="s">
        <v>32</v>
      </c>
      <c r="R121" s="7" t="s">
        <v>33</v>
      </c>
      <c r="S121" s="7" t="s">
        <v>34</v>
      </c>
      <c r="T121" s="7"/>
      <c r="U121" s="7" t="s">
        <v>35</v>
      </c>
      <c r="V121" s="9">
        <v>1961.52</v>
      </c>
      <c r="W121" s="7">
        <v>845.81</v>
      </c>
      <c r="X121" s="7">
        <v>781.08</v>
      </c>
      <c r="Y121" s="7">
        <v>0</v>
      </c>
      <c r="Z121" s="7">
        <v>334.63</v>
      </c>
    </row>
    <row r="122" spans="1:26" x14ac:dyDescent="0.35">
      <c r="A122" s="7" t="s">
        <v>27</v>
      </c>
      <c r="B122" s="7" t="s">
        <v>43</v>
      </c>
      <c r="C122" s="7" t="s">
        <v>50</v>
      </c>
      <c r="D122" s="7" t="s">
        <v>95</v>
      </c>
      <c r="E122" s="7" t="s">
        <v>41</v>
      </c>
      <c r="F122" s="7" t="s">
        <v>149</v>
      </c>
      <c r="G122" s="7">
        <v>2021</v>
      </c>
      <c r="H122" s="7" t="str">
        <f>CONCATENATE("14210389376")</f>
        <v>14210389376</v>
      </c>
      <c r="I122" s="7" t="s">
        <v>30</v>
      </c>
      <c r="J122" s="7" t="s">
        <v>31</v>
      </c>
      <c r="K122" s="7" t="str">
        <f>CONCATENATE("")</f>
        <v/>
      </c>
      <c r="L122" s="7" t="str">
        <f>CONCATENATE("13 13.1 4a")</f>
        <v>13 13.1 4a</v>
      </c>
      <c r="M122" s="7" t="str">
        <f>CONCATENATE("PGGPNI61L21D628Y")</f>
        <v>PGGPNI61L21D628Y</v>
      </c>
      <c r="N122" s="7" t="s">
        <v>247</v>
      </c>
      <c r="O122" s="7" t="s">
        <v>175</v>
      </c>
      <c r="P122" s="8">
        <v>44546</v>
      </c>
      <c r="Q122" s="7" t="s">
        <v>32</v>
      </c>
      <c r="R122" s="7" t="s">
        <v>33</v>
      </c>
      <c r="S122" s="7" t="s">
        <v>34</v>
      </c>
      <c r="T122" s="7"/>
      <c r="U122" s="7" t="s">
        <v>35</v>
      </c>
      <c r="V122" s="7">
        <v>533.24</v>
      </c>
      <c r="W122" s="7">
        <v>229.93</v>
      </c>
      <c r="X122" s="7">
        <v>212.34</v>
      </c>
      <c r="Y122" s="7">
        <v>0</v>
      </c>
      <c r="Z122" s="7">
        <v>90.97</v>
      </c>
    </row>
    <row r="123" spans="1:26" x14ac:dyDescent="0.35">
      <c r="A123" s="7" t="s">
        <v>27</v>
      </c>
      <c r="B123" s="7" t="s">
        <v>43</v>
      </c>
      <c r="C123" s="7" t="s">
        <v>50</v>
      </c>
      <c r="D123" s="7" t="s">
        <v>55</v>
      </c>
      <c r="E123" s="7" t="s">
        <v>29</v>
      </c>
      <c r="F123" s="7" t="s">
        <v>67</v>
      </c>
      <c r="G123" s="7">
        <v>2021</v>
      </c>
      <c r="H123" s="7" t="str">
        <f>CONCATENATE("14210021045")</f>
        <v>14210021045</v>
      </c>
      <c r="I123" s="7" t="s">
        <v>30</v>
      </c>
      <c r="J123" s="7" t="s">
        <v>31</v>
      </c>
      <c r="K123" s="7" t="str">
        <f>CONCATENATE("")</f>
        <v/>
      </c>
      <c r="L123" s="7" t="str">
        <f>CONCATENATE("13 13.1 4a")</f>
        <v>13 13.1 4a</v>
      </c>
      <c r="M123" s="7" t="str">
        <f>CONCATENATE("DNILGU48A03F135B")</f>
        <v>DNILGU48A03F135B</v>
      </c>
      <c r="N123" s="7" t="s">
        <v>248</v>
      </c>
      <c r="O123" s="7" t="s">
        <v>175</v>
      </c>
      <c r="P123" s="8">
        <v>44546</v>
      </c>
      <c r="Q123" s="7" t="s">
        <v>32</v>
      </c>
      <c r="R123" s="7" t="s">
        <v>33</v>
      </c>
      <c r="S123" s="7" t="s">
        <v>34</v>
      </c>
      <c r="T123" s="7"/>
      <c r="U123" s="7" t="s">
        <v>35</v>
      </c>
      <c r="V123" s="9">
        <v>1253.44</v>
      </c>
      <c r="W123" s="7">
        <v>540.48</v>
      </c>
      <c r="X123" s="7">
        <v>499.12</v>
      </c>
      <c r="Y123" s="7">
        <v>0</v>
      </c>
      <c r="Z123" s="7">
        <v>213.84</v>
      </c>
    </row>
    <row r="124" spans="1:26" x14ac:dyDescent="0.35">
      <c r="A124" s="7" t="s">
        <v>27</v>
      </c>
      <c r="B124" s="7" t="s">
        <v>43</v>
      </c>
      <c r="C124" s="7" t="s">
        <v>50</v>
      </c>
      <c r="D124" s="7" t="s">
        <v>95</v>
      </c>
      <c r="E124" s="7" t="s">
        <v>41</v>
      </c>
      <c r="F124" s="7" t="s">
        <v>144</v>
      </c>
      <c r="G124" s="7">
        <v>2021</v>
      </c>
      <c r="H124" s="7" t="str">
        <f>CONCATENATE("14210384617")</f>
        <v>14210384617</v>
      </c>
      <c r="I124" s="7" t="s">
        <v>30</v>
      </c>
      <c r="J124" s="7" t="s">
        <v>31</v>
      </c>
      <c r="K124" s="7" t="str">
        <f>CONCATENATE("")</f>
        <v/>
      </c>
      <c r="L124" s="7" t="str">
        <f>CONCATENATE("13 13.1 4a")</f>
        <v>13 13.1 4a</v>
      </c>
      <c r="M124" s="7" t="str">
        <f>CONCATENATE("RCCSFN79A06I156Z")</f>
        <v>RCCSFN79A06I156Z</v>
      </c>
      <c r="N124" s="7" t="s">
        <v>249</v>
      </c>
      <c r="O124" s="7" t="s">
        <v>175</v>
      </c>
      <c r="P124" s="8">
        <v>44546</v>
      </c>
      <c r="Q124" s="7" t="s">
        <v>32</v>
      </c>
      <c r="R124" s="7" t="s">
        <v>33</v>
      </c>
      <c r="S124" s="7" t="s">
        <v>34</v>
      </c>
      <c r="T124" s="7"/>
      <c r="U124" s="7" t="s">
        <v>35</v>
      </c>
      <c r="V124" s="9">
        <v>9000</v>
      </c>
      <c r="W124" s="9">
        <v>3880.8</v>
      </c>
      <c r="X124" s="9">
        <v>3583.8</v>
      </c>
      <c r="Y124" s="7">
        <v>0</v>
      </c>
      <c r="Z124" s="9">
        <v>1535.4</v>
      </c>
    </row>
    <row r="125" spans="1:26" x14ac:dyDescent="0.35">
      <c r="A125" s="7" t="s">
        <v>27</v>
      </c>
      <c r="B125" s="7" t="s">
        <v>43</v>
      </c>
      <c r="C125" s="7" t="s">
        <v>50</v>
      </c>
      <c r="D125" s="7" t="s">
        <v>95</v>
      </c>
      <c r="E125" s="7" t="s">
        <v>41</v>
      </c>
      <c r="F125" s="7" t="s">
        <v>144</v>
      </c>
      <c r="G125" s="7">
        <v>2021</v>
      </c>
      <c r="H125" s="7" t="str">
        <f>CONCATENATE("14211000139")</f>
        <v>14211000139</v>
      </c>
      <c r="I125" s="7" t="s">
        <v>30</v>
      </c>
      <c r="J125" s="7" t="s">
        <v>31</v>
      </c>
      <c r="K125" s="7" t="str">
        <f>CONCATENATE("")</f>
        <v/>
      </c>
      <c r="L125" s="7" t="str">
        <f>CONCATENATE("13 13.1 4a")</f>
        <v>13 13.1 4a</v>
      </c>
      <c r="M125" s="7" t="str">
        <f>CONCATENATE("PRSCTN51T26L517S")</f>
        <v>PRSCTN51T26L517S</v>
      </c>
      <c r="N125" s="7" t="s">
        <v>250</v>
      </c>
      <c r="O125" s="7" t="s">
        <v>175</v>
      </c>
      <c r="P125" s="8">
        <v>44546</v>
      </c>
      <c r="Q125" s="7" t="s">
        <v>32</v>
      </c>
      <c r="R125" s="7" t="s">
        <v>33</v>
      </c>
      <c r="S125" s="7" t="s">
        <v>34</v>
      </c>
      <c r="T125" s="7"/>
      <c r="U125" s="7" t="s">
        <v>35</v>
      </c>
      <c r="V125" s="9">
        <v>9000</v>
      </c>
      <c r="W125" s="9">
        <v>3880.8</v>
      </c>
      <c r="X125" s="9">
        <v>3583.8</v>
      </c>
      <c r="Y125" s="7">
        <v>0</v>
      </c>
      <c r="Z125" s="9">
        <v>1535.4</v>
      </c>
    </row>
    <row r="126" spans="1:26" x14ac:dyDescent="0.35">
      <c r="A126" s="7" t="s">
        <v>27</v>
      </c>
      <c r="B126" s="7" t="s">
        <v>43</v>
      </c>
      <c r="C126" s="7" t="s">
        <v>50</v>
      </c>
      <c r="D126" s="7" t="s">
        <v>55</v>
      </c>
      <c r="E126" s="7" t="s">
        <v>29</v>
      </c>
      <c r="F126" s="7" t="s">
        <v>56</v>
      </c>
      <c r="G126" s="7">
        <v>2021</v>
      </c>
      <c r="H126" s="7" t="str">
        <f>CONCATENATE("14210015237")</f>
        <v>14210015237</v>
      </c>
      <c r="I126" s="7" t="s">
        <v>30</v>
      </c>
      <c r="J126" s="7" t="s">
        <v>31</v>
      </c>
      <c r="K126" s="7" t="str">
        <f>CONCATENATE("")</f>
        <v/>
      </c>
      <c r="L126" s="7" t="str">
        <f>CONCATENATE("13 13.1 4a")</f>
        <v>13 13.1 4a</v>
      </c>
      <c r="M126" s="7" t="str">
        <f>CONCATENATE("TNLNGL53S27B846A")</f>
        <v>TNLNGL53S27B846A</v>
      </c>
      <c r="N126" s="7" t="s">
        <v>251</v>
      </c>
      <c r="O126" s="7" t="s">
        <v>175</v>
      </c>
      <c r="P126" s="8">
        <v>44546</v>
      </c>
      <c r="Q126" s="7" t="s">
        <v>32</v>
      </c>
      <c r="R126" s="7" t="s">
        <v>33</v>
      </c>
      <c r="S126" s="7" t="s">
        <v>34</v>
      </c>
      <c r="T126" s="7"/>
      <c r="U126" s="7" t="s">
        <v>35</v>
      </c>
      <c r="V126" s="9">
        <v>1851.38</v>
      </c>
      <c r="W126" s="7">
        <v>798.32</v>
      </c>
      <c r="X126" s="7">
        <v>737.22</v>
      </c>
      <c r="Y126" s="7">
        <v>0</v>
      </c>
      <c r="Z126" s="7">
        <v>315.83999999999997</v>
      </c>
    </row>
    <row r="127" spans="1:26" x14ac:dyDescent="0.35">
      <c r="A127" s="7" t="s">
        <v>27</v>
      </c>
      <c r="B127" s="7" t="s">
        <v>43</v>
      </c>
      <c r="C127" s="7" t="s">
        <v>50</v>
      </c>
      <c r="D127" s="7" t="s">
        <v>59</v>
      </c>
      <c r="E127" s="7" t="s">
        <v>29</v>
      </c>
      <c r="F127" s="7" t="s">
        <v>205</v>
      </c>
      <c r="G127" s="7">
        <v>2021</v>
      </c>
      <c r="H127" s="7" t="str">
        <f>CONCATENATE("14210351673")</f>
        <v>14210351673</v>
      </c>
      <c r="I127" s="7" t="s">
        <v>30</v>
      </c>
      <c r="J127" s="7" t="s">
        <v>31</v>
      </c>
      <c r="K127" s="7" t="str">
        <f>CONCATENATE("")</f>
        <v/>
      </c>
      <c r="L127" s="7" t="str">
        <f>CONCATENATE("13 13.1 4a")</f>
        <v>13 13.1 4a</v>
      </c>
      <c r="M127" s="7" t="str">
        <f>CONCATENATE("SSTMRT59D45G289N")</f>
        <v>SSTMRT59D45G289N</v>
      </c>
      <c r="N127" s="7" t="s">
        <v>252</v>
      </c>
      <c r="O127" s="7" t="s">
        <v>175</v>
      </c>
      <c r="P127" s="8">
        <v>44546</v>
      </c>
      <c r="Q127" s="7" t="s">
        <v>32</v>
      </c>
      <c r="R127" s="7" t="s">
        <v>33</v>
      </c>
      <c r="S127" s="7" t="s">
        <v>34</v>
      </c>
      <c r="T127" s="7"/>
      <c r="U127" s="7" t="s">
        <v>35</v>
      </c>
      <c r="V127" s="9">
        <v>1377.44</v>
      </c>
      <c r="W127" s="7">
        <v>593.95000000000005</v>
      </c>
      <c r="X127" s="7">
        <v>548.5</v>
      </c>
      <c r="Y127" s="7">
        <v>0</v>
      </c>
      <c r="Z127" s="7">
        <v>234.99</v>
      </c>
    </row>
    <row r="128" spans="1:26" x14ac:dyDescent="0.35">
      <c r="A128" s="7" t="s">
        <v>27</v>
      </c>
      <c r="B128" s="7" t="s">
        <v>43</v>
      </c>
      <c r="C128" s="7" t="s">
        <v>50</v>
      </c>
      <c r="D128" s="7" t="s">
        <v>59</v>
      </c>
      <c r="E128" s="7" t="s">
        <v>29</v>
      </c>
      <c r="F128" s="7" t="s">
        <v>164</v>
      </c>
      <c r="G128" s="7">
        <v>2021</v>
      </c>
      <c r="H128" s="7" t="str">
        <f>CONCATENATE("14210316684")</f>
        <v>14210316684</v>
      </c>
      <c r="I128" s="7" t="s">
        <v>30</v>
      </c>
      <c r="J128" s="7" t="s">
        <v>31</v>
      </c>
      <c r="K128" s="7" t="str">
        <f>CONCATENATE("")</f>
        <v/>
      </c>
      <c r="L128" s="7" t="str">
        <f>CONCATENATE("13 13.1 4a")</f>
        <v>13 13.1 4a</v>
      </c>
      <c r="M128" s="7" t="str">
        <f>CONCATENATE("SLQFNC53L25D691O")</f>
        <v>SLQFNC53L25D691O</v>
      </c>
      <c r="N128" s="7" t="s">
        <v>253</v>
      </c>
      <c r="O128" s="7" t="s">
        <v>175</v>
      </c>
      <c r="P128" s="8">
        <v>44546</v>
      </c>
      <c r="Q128" s="7" t="s">
        <v>32</v>
      </c>
      <c r="R128" s="7" t="s">
        <v>33</v>
      </c>
      <c r="S128" s="7" t="s">
        <v>34</v>
      </c>
      <c r="T128" s="7"/>
      <c r="U128" s="7" t="s">
        <v>35</v>
      </c>
      <c r="V128" s="7">
        <v>123.39</v>
      </c>
      <c r="W128" s="7">
        <v>53.21</v>
      </c>
      <c r="X128" s="7">
        <v>49.13</v>
      </c>
      <c r="Y128" s="7">
        <v>0</v>
      </c>
      <c r="Z128" s="7">
        <v>21.05</v>
      </c>
    </row>
    <row r="129" spans="1:26" ht="17.5" x14ac:dyDescent="0.35">
      <c r="A129" s="7" t="s">
        <v>27</v>
      </c>
      <c r="B129" s="7" t="s">
        <v>43</v>
      </c>
      <c r="C129" s="7" t="s">
        <v>50</v>
      </c>
      <c r="D129" s="7" t="s">
        <v>55</v>
      </c>
      <c r="E129" s="7" t="s">
        <v>38</v>
      </c>
      <c r="F129" s="7" t="s">
        <v>78</v>
      </c>
      <c r="G129" s="7">
        <v>2021</v>
      </c>
      <c r="H129" s="7" t="str">
        <f>CONCATENATE("14210954492")</f>
        <v>14210954492</v>
      </c>
      <c r="I129" s="7" t="s">
        <v>30</v>
      </c>
      <c r="J129" s="7" t="s">
        <v>31</v>
      </c>
      <c r="K129" s="7" t="str">
        <f>CONCATENATE("")</f>
        <v/>
      </c>
      <c r="L129" s="7" t="str">
        <f>CONCATENATE("13 13.1 4a")</f>
        <v>13 13.1 4a</v>
      </c>
      <c r="M129" s="7" t="str">
        <f>CONCATENATE("00328980412")</f>
        <v>00328980412</v>
      </c>
      <c r="N129" s="7" t="s">
        <v>254</v>
      </c>
      <c r="O129" s="7" t="s">
        <v>175</v>
      </c>
      <c r="P129" s="8">
        <v>44546</v>
      </c>
      <c r="Q129" s="7" t="s">
        <v>32</v>
      </c>
      <c r="R129" s="7" t="s">
        <v>33</v>
      </c>
      <c r="S129" s="7" t="s">
        <v>34</v>
      </c>
      <c r="T129" s="7"/>
      <c r="U129" s="7" t="s">
        <v>35</v>
      </c>
      <c r="V129" s="9">
        <v>9000</v>
      </c>
      <c r="W129" s="9">
        <v>3880.8</v>
      </c>
      <c r="X129" s="9">
        <v>3583.8</v>
      </c>
      <c r="Y129" s="7">
        <v>0</v>
      </c>
      <c r="Z129" s="9">
        <v>1535.4</v>
      </c>
    </row>
    <row r="130" spans="1:26" x14ac:dyDescent="0.35">
      <c r="A130" s="7" t="s">
        <v>27</v>
      </c>
      <c r="B130" s="7" t="s">
        <v>43</v>
      </c>
      <c r="C130" s="7" t="s">
        <v>50</v>
      </c>
      <c r="D130" s="7" t="s">
        <v>55</v>
      </c>
      <c r="E130" s="7" t="s">
        <v>38</v>
      </c>
      <c r="F130" s="7" t="s">
        <v>78</v>
      </c>
      <c r="G130" s="7">
        <v>2021</v>
      </c>
      <c r="H130" s="7" t="str">
        <f>CONCATENATE("14210859543")</f>
        <v>14210859543</v>
      </c>
      <c r="I130" s="7" t="s">
        <v>30</v>
      </c>
      <c r="J130" s="7" t="s">
        <v>31</v>
      </c>
      <c r="K130" s="7" t="str">
        <f>CONCATENATE("")</f>
        <v/>
      </c>
      <c r="L130" s="7" t="str">
        <f>CONCATENATE("13 13.1 4a")</f>
        <v>13 13.1 4a</v>
      </c>
      <c r="M130" s="7" t="str">
        <f>CONCATENATE("82004090419")</f>
        <v>82004090419</v>
      </c>
      <c r="N130" s="7" t="s">
        <v>255</v>
      </c>
      <c r="O130" s="7" t="s">
        <v>175</v>
      </c>
      <c r="P130" s="8">
        <v>44546</v>
      </c>
      <c r="Q130" s="7" t="s">
        <v>32</v>
      </c>
      <c r="R130" s="7" t="s">
        <v>33</v>
      </c>
      <c r="S130" s="7" t="s">
        <v>34</v>
      </c>
      <c r="T130" s="7"/>
      <c r="U130" s="7" t="s">
        <v>35</v>
      </c>
      <c r="V130" s="9">
        <v>9000</v>
      </c>
      <c r="W130" s="9">
        <v>3880.8</v>
      </c>
      <c r="X130" s="9">
        <v>3583.8</v>
      </c>
      <c r="Y130" s="7">
        <v>0</v>
      </c>
      <c r="Z130" s="9">
        <v>1535.4</v>
      </c>
    </row>
    <row r="131" spans="1:26" x14ac:dyDescent="0.35">
      <c r="A131" s="7" t="s">
        <v>27</v>
      </c>
      <c r="B131" s="7" t="s">
        <v>43</v>
      </c>
      <c r="C131" s="7" t="s">
        <v>50</v>
      </c>
      <c r="D131" s="7" t="s">
        <v>55</v>
      </c>
      <c r="E131" s="7" t="s">
        <v>29</v>
      </c>
      <c r="F131" s="7" t="s">
        <v>256</v>
      </c>
      <c r="G131" s="7">
        <v>2021</v>
      </c>
      <c r="H131" s="7" t="str">
        <f>CONCATENATE("14210175411")</f>
        <v>14210175411</v>
      </c>
      <c r="I131" s="7" t="s">
        <v>30</v>
      </c>
      <c r="J131" s="7" t="s">
        <v>31</v>
      </c>
      <c r="K131" s="7" t="str">
        <f>CONCATENATE("")</f>
        <v/>
      </c>
      <c r="L131" s="7" t="str">
        <f>CONCATENATE("13 13.1 4a")</f>
        <v>13 13.1 4a</v>
      </c>
      <c r="M131" s="7" t="str">
        <f>CONCATENATE("PRLFRZ61S25A327B")</f>
        <v>PRLFRZ61S25A327B</v>
      </c>
      <c r="N131" s="7" t="s">
        <v>257</v>
      </c>
      <c r="O131" s="7" t="s">
        <v>175</v>
      </c>
      <c r="P131" s="8">
        <v>44546</v>
      </c>
      <c r="Q131" s="7" t="s">
        <v>32</v>
      </c>
      <c r="R131" s="7" t="s">
        <v>33</v>
      </c>
      <c r="S131" s="7" t="s">
        <v>34</v>
      </c>
      <c r="T131" s="7"/>
      <c r="U131" s="7" t="s">
        <v>35</v>
      </c>
      <c r="V131" s="7">
        <v>527.5</v>
      </c>
      <c r="W131" s="7">
        <v>227.46</v>
      </c>
      <c r="X131" s="7">
        <v>210.05</v>
      </c>
      <c r="Y131" s="7">
        <v>0</v>
      </c>
      <c r="Z131" s="7">
        <v>89.99</v>
      </c>
    </row>
    <row r="132" spans="1:26" x14ac:dyDescent="0.35">
      <c r="A132" s="7" t="s">
        <v>27</v>
      </c>
      <c r="B132" s="7" t="s">
        <v>43</v>
      </c>
      <c r="C132" s="7" t="s">
        <v>50</v>
      </c>
      <c r="D132" s="7" t="s">
        <v>55</v>
      </c>
      <c r="E132" s="7" t="s">
        <v>29</v>
      </c>
      <c r="F132" s="7" t="s">
        <v>91</v>
      </c>
      <c r="G132" s="7">
        <v>2021</v>
      </c>
      <c r="H132" s="7" t="str">
        <f>CONCATENATE("14210049962")</f>
        <v>14210049962</v>
      </c>
      <c r="I132" s="7" t="s">
        <v>30</v>
      </c>
      <c r="J132" s="7" t="s">
        <v>31</v>
      </c>
      <c r="K132" s="7" t="str">
        <f>CONCATENATE("")</f>
        <v/>
      </c>
      <c r="L132" s="7" t="str">
        <f>CONCATENATE("13 13.1 4a")</f>
        <v>13 13.1 4a</v>
      </c>
      <c r="M132" s="7" t="str">
        <f>CONCATENATE("SLTLCU89R13D749G")</f>
        <v>SLTLCU89R13D749G</v>
      </c>
      <c r="N132" s="7" t="s">
        <v>258</v>
      </c>
      <c r="O132" s="7" t="s">
        <v>175</v>
      </c>
      <c r="P132" s="8">
        <v>44546</v>
      </c>
      <c r="Q132" s="7" t="s">
        <v>32</v>
      </c>
      <c r="R132" s="7" t="s">
        <v>33</v>
      </c>
      <c r="S132" s="7" t="s">
        <v>34</v>
      </c>
      <c r="T132" s="7"/>
      <c r="U132" s="7" t="s">
        <v>35</v>
      </c>
      <c r="V132" s="9">
        <v>3586.4</v>
      </c>
      <c r="W132" s="9">
        <v>1546.46</v>
      </c>
      <c r="X132" s="9">
        <v>1428.1</v>
      </c>
      <c r="Y132" s="7">
        <v>0</v>
      </c>
      <c r="Z132" s="7">
        <v>611.84</v>
      </c>
    </row>
    <row r="133" spans="1:26" x14ac:dyDescent="0.35">
      <c r="A133" s="7" t="s">
        <v>27</v>
      </c>
      <c r="B133" s="7" t="s">
        <v>43</v>
      </c>
      <c r="C133" s="7" t="s">
        <v>50</v>
      </c>
      <c r="D133" s="7" t="s">
        <v>59</v>
      </c>
      <c r="E133" s="7" t="s">
        <v>29</v>
      </c>
      <c r="F133" s="7" t="s">
        <v>205</v>
      </c>
      <c r="G133" s="7">
        <v>2021</v>
      </c>
      <c r="H133" s="7" t="str">
        <f>CONCATENATE("14210165701")</f>
        <v>14210165701</v>
      </c>
      <c r="I133" s="7" t="s">
        <v>30</v>
      </c>
      <c r="J133" s="7" t="s">
        <v>31</v>
      </c>
      <c r="K133" s="7" t="str">
        <f>CONCATENATE("")</f>
        <v/>
      </c>
      <c r="L133" s="7" t="str">
        <f>CONCATENATE("13 13.1 4a")</f>
        <v>13 13.1 4a</v>
      </c>
      <c r="M133" s="7" t="str">
        <f>CONCATENATE("VRGMNN27R70G289Z")</f>
        <v>VRGMNN27R70G289Z</v>
      </c>
      <c r="N133" s="7" t="s">
        <v>259</v>
      </c>
      <c r="O133" s="7" t="s">
        <v>175</v>
      </c>
      <c r="P133" s="8">
        <v>44546</v>
      </c>
      <c r="Q133" s="7" t="s">
        <v>32</v>
      </c>
      <c r="R133" s="7" t="s">
        <v>33</v>
      </c>
      <c r="S133" s="7" t="s">
        <v>34</v>
      </c>
      <c r="T133" s="7"/>
      <c r="U133" s="7" t="s">
        <v>35</v>
      </c>
      <c r="V133" s="9">
        <v>2097.92</v>
      </c>
      <c r="W133" s="7">
        <v>904.62</v>
      </c>
      <c r="X133" s="7">
        <v>835.39</v>
      </c>
      <c r="Y133" s="7">
        <v>0</v>
      </c>
      <c r="Z133" s="7">
        <v>357.91</v>
      </c>
    </row>
    <row r="134" spans="1:26" x14ac:dyDescent="0.35">
      <c r="A134" s="7" t="s">
        <v>27</v>
      </c>
      <c r="B134" s="7" t="s">
        <v>43</v>
      </c>
      <c r="C134" s="7" t="s">
        <v>50</v>
      </c>
      <c r="D134" s="7" t="s">
        <v>55</v>
      </c>
      <c r="E134" s="7" t="s">
        <v>29</v>
      </c>
      <c r="F134" s="7" t="s">
        <v>230</v>
      </c>
      <c r="G134" s="7">
        <v>2021</v>
      </c>
      <c r="H134" s="7" t="str">
        <f>CONCATENATE("14210017795")</f>
        <v>14210017795</v>
      </c>
      <c r="I134" s="7" t="s">
        <v>30</v>
      </c>
      <c r="J134" s="7" t="s">
        <v>31</v>
      </c>
      <c r="K134" s="7" t="str">
        <f>CONCATENATE("")</f>
        <v/>
      </c>
      <c r="L134" s="7" t="str">
        <f>CONCATENATE("13 13.1 4a")</f>
        <v>13 13.1 4a</v>
      </c>
      <c r="M134" s="7" t="str">
        <f>CONCATENATE("02607030414")</f>
        <v>02607030414</v>
      </c>
      <c r="N134" s="7" t="s">
        <v>260</v>
      </c>
      <c r="O134" s="7" t="s">
        <v>175</v>
      </c>
      <c r="P134" s="8">
        <v>44546</v>
      </c>
      <c r="Q134" s="7" t="s">
        <v>32</v>
      </c>
      <c r="R134" s="7" t="s">
        <v>33</v>
      </c>
      <c r="S134" s="7" t="s">
        <v>34</v>
      </c>
      <c r="T134" s="7"/>
      <c r="U134" s="7" t="s">
        <v>35</v>
      </c>
      <c r="V134" s="7">
        <v>480.7</v>
      </c>
      <c r="W134" s="7">
        <v>207.28</v>
      </c>
      <c r="X134" s="7">
        <v>191.41</v>
      </c>
      <c r="Y134" s="7">
        <v>0</v>
      </c>
      <c r="Z134" s="7">
        <v>82.01</v>
      </c>
    </row>
    <row r="135" spans="1:26" x14ac:dyDescent="0.35">
      <c r="A135" s="7" t="s">
        <v>27</v>
      </c>
      <c r="B135" s="7" t="s">
        <v>43</v>
      </c>
      <c r="C135" s="7" t="s">
        <v>50</v>
      </c>
      <c r="D135" s="7" t="s">
        <v>55</v>
      </c>
      <c r="E135" s="7" t="s">
        <v>41</v>
      </c>
      <c r="F135" s="7" t="s">
        <v>73</v>
      </c>
      <c r="G135" s="7">
        <v>2021</v>
      </c>
      <c r="H135" s="7" t="str">
        <f>CONCATENATE("14210325180")</f>
        <v>14210325180</v>
      </c>
      <c r="I135" s="7" t="s">
        <v>30</v>
      </c>
      <c r="J135" s="7" t="s">
        <v>31</v>
      </c>
      <c r="K135" s="7" t="str">
        <f>CONCATENATE("")</f>
        <v/>
      </c>
      <c r="L135" s="7" t="str">
        <f>CONCATENATE("13 13.1 4a")</f>
        <v>13 13.1 4a</v>
      </c>
      <c r="M135" s="7" t="str">
        <f>CONCATENATE("01496630417")</f>
        <v>01496630417</v>
      </c>
      <c r="N135" s="7" t="s">
        <v>261</v>
      </c>
      <c r="O135" s="7" t="s">
        <v>175</v>
      </c>
      <c r="P135" s="8">
        <v>44546</v>
      </c>
      <c r="Q135" s="7" t="s">
        <v>32</v>
      </c>
      <c r="R135" s="7" t="s">
        <v>33</v>
      </c>
      <c r="S135" s="7" t="s">
        <v>34</v>
      </c>
      <c r="T135" s="7"/>
      <c r="U135" s="7" t="s">
        <v>35</v>
      </c>
      <c r="V135" s="7">
        <v>321.93</v>
      </c>
      <c r="W135" s="7">
        <v>138.82</v>
      </c>
      <c r="X135" s="7">
        <v>128.19</v>
      </c>
      <c r="Y135" s="7">
        <v>0</v>
      </c>
      <c r="Z135" s="7">
        <v>54.92</v>
      </c>
    </row>
    <row r="136" spans="1:26" x14ac:dyDescent="0.35">
      <c r="A136" s="7" t="s">
        <v>27</v>
      </c>
      <c r="B136" s="7" t="s">
        <v>43</v>
      </c>
      <c r="C136" s="7" t="s">
        <v>50</v>
      </c>
      <c r="D136" s="7" t="s">
        <v>55</v>
      </c>
      <c r="E136" s="7" t="s">
        <v>41</v>
      </c>
      <c r="F136" s="7" t="s">
        <v>73</v>
      </c>
      <c r="G136" s="7">
        <v>2021</v>
      </c>
      <c r="H136" s="7" t="str">
        <f>CONCATENATE("14210179306")</f>
        <v>14210179306</v>
      </c>
      <c r="I136" s="7" t="s">
        <v>30</v>
      </c>
      <c r="J136" s="7" t="s">
        <v>31</v>
      </c>
      <c r="K136" s="7" t="str">
        <f>CONCATENATE("")</f>
        <v/>
      </c>
      <c r="L136" s="7" t="str">
        <f>CONCATENATE("13 13.1 4a")</f>
        <v>13 13.1 4a</v>
      </c>
      <c r="M136" s="7" t="str">
        <f>CONCATENATE("02288450410")</f>
        <v>02288450410</v>
      </c>
      <c r="N136" s="7" t="s">
        <v>262</v>
      </c>
      <c r="O136" s="7" t="s">
        <v>175</v>
      </c>
      <c r="P136" s="8">
        <v>44546</v>
      </c>
      <c r="Q136" s="7" t="s">
        <v>32</v>
      </c>
      <c r="R136" s="7" t="s">
        <v>33</v>
      </c>
      <c r="S136" s="7" t="s">
        <v>34</v>
      </c>
      <c r="T136" s="7"/>
      <c r="U136" s="7" t="s">
        <v>35</v>
      </c>
      <c r="V136" s="9">
        <v>6396.17</v>
      </c>
      <c r="W136" s="9">
        <v>2758.03</v>
      </c>
      <c r="X136" s="9">
        <v>2546.9499999999998</v>
      </c>
      <c r="Y136" s="7">
        <v>0</v>
      </c>
      <c r="Z136" s="9">
        <v>1091.19</v>
      </c>
    </row>
    <row r="137" spans="1:26" x14ac:dyDescent="0.35">
      <c r="A137" s="7" t="s">
        <v>27</v>
      </c>
      <c r="B137" s="7" t="s">
        <v>43</v>
      </c>
      <c r="C137" s="7" t="s">
        <v>50</v>
      </c>
      <c r="D137" s="7" t="s">
        <v>59</v>
      </c>
      <c r="E137" s="7" t="s">
        <v>42</v>
      </c>
      <c r="F137" s="7" t="s">
        <v>42</v>
      </c>
      <c r="G137" s="7">
        <v>2021</v>
      </c>
      <c r="H137" s="7" t="str">
        <f>CONCATENATE("14241202275")</f>
        <v>14241202275</v>
      </c>
      <c r="I137" s="7" t="s">
        <v>30</v>
      </c>
      <c r="J137" s="7" t="s">
        <v>31</v>
      </c>
      <c r="K137" s="7" t="str">
        <f>CONCATENATE("")</f>
        <v/>
      </c>
      <c r="L137" s="7" t="str">
        <f>CONCATENATE("11 11.2 4b")</f>
        <v>11 11.2 4b</v>
      </c>
      <c r="M137" s="7" t="str">
        <f>CONCATENATE("01517310445")</f>
        <v>01517310445</v>
      </c>
      <c r="N137" s="7" t="s">
        <v>263</v>
      </c>
      <c r="O137" s="7" t="s">
        <v>264</v>
      </c>
      <c r="P137" s="8">
        <v>44540</v>
      </c>
      <c r="Q137" s="7" t="s">
        <v>32</v>
      </c>
      <c r="R137" s="7" t="s">
        <v>33</v>
      </c>
      <c r="S137" s="7" t="s">
        <v>34</v>
      </c>
      <c r="T137" s="7"/>
      <c r="U137" s="7" t="s">
        <v>35</v>
      </c>
      <c r="V137" s="9">
        <v>83898.66</v>
      </c>
      <c r="W137" s="9">
        <v>36177.1</v>
      </c>
      <c r="X137" s="9">
        <v>33408.449999999997</v>
      </c>
      <c r="Y137" s="7">
        <v>0</v>
      </c>
      <c r="Z137" s="9">
        <v>14313.11</v>
      </c>
    </row>
    <row r="138" spans="1:26" ht="17.5" x14ac:dyDescent="0.35">
      <c r="A138" s="7" t="s">
        <v>27</v>
      </c>
      <c r="B138" s="7" t="s">
        <v>43</v>
      </c>
      <c r="C138" s="7" t="s">
        <v>50</v>
      </c>
      <c r="D138" s="7" t="s">
        <v>59</v>
      </c>
      <c r="E138" s="7" t="s">
        <v>42</v>
      </c>
      <c r="F138" s="7" t="s">
        <v>42</v>
      </c>
      <c r="G138" s="7">
        <v>2021</v>
      </c>
      <c r="H138" s="7" t="str">
        <f>CONCATENATE("14240735945")</f>
        <v>14240735945</v>
      </c>
      <c r="I138" s="7" t="s">
        <v>30</v>
      </c>
      <c r="J138" s="7" t="s">
        <v>31</v>
      </c>
      <c r="K138" s="7" t="str">
        <f>CONCATENATE("")</f>
        <v/>
      </c>
      <c r="L138" s="7" t="str">
        <f>CONCATENATE("11 11.2 4b")</f>
        <v>11 11.2 4b</v>
      </c>
      <c r="M138" s="7" t="str">
        <f>CONCATENATE("01511110445")</f>
        <v>01511110445</v>
      </c>
      <c r="N138" s="7" t="s">
        <v>265</v>
      </c>
      <c r="O138" s="7" t="s">
        <v>264</v>
      </c>
      <c r="P138" s="8">
        <v>44540</v>
      </c>
      <c r="Q138" s="7" t="s">
        <v>32</v>
      </c>
      <c r="R138" s="7" t="s">
        <v>33</v>
      </c>
      <c r="S138" s="7" t="s">
        <v>34</v>
      </c>
      <c r="T138" s="7"/>
      <c r="U138" s="7" t="s">
        <v>35</v>
      </c>
      <c r="V138" s="9">
        <v>19810.73</v>
      </c>
      <c r="W138" s="9">
        <v>8542.39</v>
      </c>
      <c r="X138" s="9">
        <v>7888.63</v>
      </c>
      <c r="Y138" s="7">
        <v>0</v>
      </c>
      <c r="Z138" s="9">
        <v>3379.71</v>
      </c>
    </row>
    <row r="139" spans="1:26" x14ac:dyDescent="0.35">
      <c r="A139" s="7" t="s">
        <v>27</v>
      </c>
      <c r="B139" s="7" t="s">
        <v>43</v>
      </c>
      <c r="C139" s="7" t="s">
        <v>50</v>
      </c>
      <c r="D139" s="7" t="s">
        <v>59</v>
      </c>
      <c r="E139" s="7" t="s">
        <v>42</v>
      </c>
      <c r="F139" s="7" t="s">
        <v>42</v>
      </c>
      <c r="G139" s="7">
        <v>2018</v>
      </c>
      <c r="H139" s="7" t="str">
        <f>CONCATENATE("84240887475")</f>
        <v>84240887475</v>
      </c>
      <c r="I139" s="7" t="s">
        <v>30</v>
      </c>
      <c r="J139" s="7" t="s">
        <v>31</v>
      </c>
      <c r="K139" s="7" t="str">
        <f>CONCATENATE("")</f>
        <v/>
      </c>
      <c r="L139" s="7" t="str">
        <f>CONCATENATE("11 11.2 4b")</f>
        <v>11 11.2 4b</v>
      </c>
      <c r="M139" s="7" t="str">
        <f>CONCATENATE("02290580444")</f>
        <v>02290580444</v>
      </c>
      <c r="N139" s="7" t="s">
        <v>266</v>
      </c>
      <c r="O139" s="7" t="s">
        <v>264</v>
      </c>
      <c r="P139" s="8">
        <v>44540</v>
      </c>
      <c r="Q139" s="7" t="s">
        <v>32</v>
      </c>
      <c r="R139" s="7" t="s">
        <v>33</v>
      </c>
      <c r="S139" s="7" t="s">
        <v>34</v>
      </c>
      <c r="T139" s="7"/>
      <c r="U139" s="7" t="s">
        <v>35</v>
      </c>
      <c r="V139" s="7">
        <v>445.13</v>
      </c>
      <c r="W139" s="7">
        <v>191.94</v>
      </c>
      <c r="X139" s="7">
        <v>177.25</v>
      </c>
      <c r="Y139" s="7">
        <v>0</v>
      </c>
      <c r="Z139" s="7">
        <v>75.94</v>
      </c>
    </row>
    <row r="140" spans="1:26" x14ac:dyDescent="0.35">
      <c r="A140" s="7" t="s">
        <v>27</v>
      </c>
      <c r="B140" s="7" t="s">
        <v>28</v>
      </c>
      <c r="C140" s="7" t="s">
        <v>50</v>
      </c>
      <c r="D140" s="7" t="s">
        <v>55</v>
      </c>
      <c r="E140" s="7" t="s">
        <v>38</v>
      </c>
      <c r="F140" s="7" t="s">
        <v>178</v>
      </c>
      <c r="G140" s="7">
        <v>2017</v>
      </c>
      <c r="H140" s="7" t="str">
        <f>CONCATENATE("14270341705")</f>
        <v>14270341705</v>
      </c>
      <c r="I140" s="7" t="s">
        <v>30</v>
      </c>
      <c r="J140" s="7" t="s">
        <v>31</v>
      </c>
      <c r="K140" s="7" t="str">
        <f>CONCATENATE("")</f>
        <v/>
      </c>
      <c r="L140" s="7" t="str">
        <f>CONCATENATE("21 21.1 2a")</f>
        <v>21 21.1 2a</v>
      </c>
      <c r="M140" s="7" t="str">
        <f>CONCATENATE("GZZMRZ62E21D749Z")</f>
        <v>GZZMRZ62E21D749Z</v>
      </c>
      <c r="N140" s="7" t="s">
        <v>267</v>
      </c>
      <c r="O140" s="7" t="s">
        <v>268</v>
      </c>
      <c r="P140" s="8">
        <v>44540</v>
      </c>
      <c r="Q140" s="7" t="s">
        <v>32</v>
      </c>
      <c r="R140" s="7" t="s">
        <v>33</v>
      </c>
      <c r="S140" s="7" t="s">
        <v>34</v>
      </c>
      <c r="T140" s="7"/>
      <c r="U140" s="7" t="s">
        <v>35</v>
      </c>
      <c r="V140" s="9">
        <v>4201.3</v>
      </c>
      <c r="W140" s="9">
        <v>1811.6</v>
      </c>
      <c r="X140" s="9">
        <v>1672.96</v>
      </c>
      <c r="Y140" s="7">
        <v>0</v>
      </c>
      <c r="Z140" s="7">
        <v>716.74</v>
      </c>
    </row>
    <row r="141" spans="1:26" x14ac:dyDescent="0.35">
      <c r="A141" s="7" t="s">
        <v>27</v>
      </c>
      <c r="B141" s="7" t="s">
        <v>43</v>
      </c>
      <c r="C141" s="7" t="s">
        <v>50</v>
      </c>
      <c r="D141" s="7" t="s">
        <v>59</v>
      </c>
      <c r="E141" s="7" t="s">
        <v>38</v>
      </c>
      <c r="F141" s="7" t="s">
        <v>269</v>
      </c>
      <c r="G141" s="7">
        <v>2021</v>
      </c>
      <c r="H141" s="7" t="str">
        <f>CONCATENATE("14240913799")</f>
        <v>14240913799</v>
      </c>
      <c r="I141" s="7" t="s">
        <v>30</v>
      </c>
      <c r="J141" s="7" t="s">
        <v>31</v>
      </c>
      <c r="K141" s="7" t="str">
        <f>CONCATENATE("")</f>
        <v/>
      </c>
      <c r="L141" s="7" t="str">
        <f>CONCATENATE("11 11.2 4b")</f>
        <v>11 11.2 4b</v>
      </c>
      <c r="M141" s="7" t="str">
        <f>CONCATENATE("02451910448")</f>
        <v>02451910448</v>
      </c>
      <c r="N141" s="7" t="s">
        <v>270</v>
      </c>
      <c r="O141" s="7" t="s">
        <v>166</v>
      </c>
      <c r="P141" s="8">
        <v>44546</v>
      </c>
      <c r="Q141" s="7" t="s">
        <v>32</v>
      </c>
      <c r="R141" s="7" t="s">
        <v>33</v>
      </c>
      <c r="S141" s="7" t="s">
        <v>34</v>
      </c>
      <c r="T141" s="7"/>
      <c r="U141" s="7" t="s">
        <v>35</v>
      </c>
      <c r="V141" s="9">
        <v>9849.86</v>
      </c>
      <c r="W141" s="9">
        <v>4247.26</v>
      </c>
      <c r="X141" s="9">
        <v>3922.21</v>
      </c>
      <c r="Y141" s="7">
        <v>0</v>
      </c>
      <c r="Z141" s="9">
        <v>1680.39</v>
      </c>
    </row>
    <row r="142" spans="1:26" x14ac:dyDescent="0.35">
      <c r="A142" s="7" t="s">
        <v>27</v>
      </c>
      <c r="B142" s="7" t="s">
        <v>43</v>
      </c>
      <c r="C142" s="7" t="s">
        <v>50</v>
      </c>
      <c r="D142" s="7" t="s">
        <v>59</v>
      </c>
      <c r="E142" s="7" t="s">
        <v>38</v>
      </c>
      <c r="F142" s="7" t="s">
        <v>269</v>
      </c>
      <c r="G142" s="7">
        <v>2021</v>
      </c>
      <c r="H142" s="7" t="str">
        <f>CONCATENATE("14210858305")</f>
        <v>14210858305</v>
      </c>
      <c r="I142" s="7" t="s">
        <v>30</v>
      </c>
      <c r="J142" s="7" t="s">
        <v>31</v>
      </c>
      <c r="K142" s="7" t="str">
        <f>CONCATENATE("")</f>
        <v/>
      </c>
      <c r="L142" s="7" t="str">
        <f>CONCATENATE("13 13.1 4a")</f>
        <v>13 13.1 4a</v>
      </c>
      <c r="M142" s="7" t="str">
        <f>CONCATENATE("02451910448")</f>
        <v>02451910448</v>
      </c>
      <c r="N142" s="7" t="s">
        <v>270</v>
      </c>
      <c r="O142" s="7" t="s">
        <v>175</v>
      </c>
      <c r="P142" s="8">
        <v>44546</v>
      </c>
      <c r="Q142" s="7" t="s">
        <v>32</v>
      </c>
      <c r="R142" s="7" t="s">
        <v>33</v>
      </c>
      <c r="S142" s="7" t="s">
        <v>34</v>
      </c>
      <c r="T142" s="7"/>
      <c r="U142" s="7" t="s">
        <v>35</v>
      </c>
      <c r="V142" s="9">
        <v>8730</v>
      </c>
      <c r="W142" s="9">
        <v>3764.38</v>
      </c>
      <c r="X142" s="9">
        <v>3476.29</v>
      </c>
      <c r="Y142" s="7">
        <v>0</v>
      </c>
      <c r="Z142" s="9">
        <v>1489.33</v>
      </c>
    </row>
    <row r="143" spans="1:26" x14ac:dyDescent="0.35">
      <c r="A143" s="7" t="s">
        <v>27</v>
      </c>
      <c r="B143" s="7" t="s">
        <v>43</v>
      </c>
      <c r="C143" s="7" t="s">
        <v>50</v>
      </c>
      <c r="D143" s="7" t="s">
        <v>59</v>
      </c>
      <c r="E143" s="7" t="s">
        <v>36</v>
      </c>
      <c r="F143" s="7" t="s">
        <v>202</v>
      </c>
      <c r="G143" s="7">
        <v>2021</v>
      </c>
      <c r="H143" s="7" t="str">
        <f>CONCATENATE("14240396995")</f>
        <v>14240396995</v>
      </c>
      <c r="I143" s="7" t="s">
        <v>30</v>
      </c>
      <c r="J143" s="7" t="s">
        <v>31</v>
      </c>
      <c r="K143" s="7" t="str">
        <f>CONCATENATE("")</f>
        <v/>
      </c>
      <c r="L143" s="7" t="str">
        <f>CONCATENATE("10 10.1 4a")</f>
        <v>10 10.1 4a</v>
      </c>
      <c r="M143" s="7" t="str">
        <f>CONCATENATE("01302930449")</f>
        <v>01302930449</v>
      </c>
      <c r="N143" s="7" t="s">
        <v>271</v>
      </c>
      <c r="O143" s="7" t="s">
        <v>204</v>
      </c>
      <c r="P143" s="8">
        <v>44544</v>
      </c>
      <c r="Q143" s="7" t="s">
        <v>32</v>
      </c>
      <c r="R143" s="7" t="s">
        <v>33</v>
      </c>
      <c r="S143" s="7" t="s">
        <v>34</v>
      </c>
      <c r="T143" s="7"/>
      <c r="U143" s="7" t="s">
        <v>35</v>
      </c>
      <c r="V143" s="7">
        <v>700.88</v>
      </c>
      <c r="W143" s="7">
        <v>302.22000000000003</v>
      </c>
      <c r="X143" s="7">
        <v>279.08999999999997</v>
      </c>
      <c r="Y143" s="7">
        <v>0</v>
      </c>
      <c r="Z143" s="7">
        <v>119.57</v>
      </c>
    </row>
    <row r="144" spans="1:26" x14ac:dyDescent="0.35">
      <c r="A144" s="7" t="s">
        <v>27</v>
      </c>
      <c r="B144" s="7" t="s">
        <v>43</v>
      </c>
      <c r="C144" s="7" t="s">
        <v>50</v>
      </c>
      <c r="D144" s="7" t="s">
        <v>59</v>
      </c>
      <c r="E144" s="7" t="s">
        <v>29</v>
      </c>
      <c r="F144" s="7" t="s">
        <v>60</v>
      </c>
      <c r="G144" s="7">
        <v>2021</v>
      </c>
      <c r="H144" s="7" t="str">
        <f>CONCATENATE("14241081604")</f>
        <v>14241081604</v>
      </c>
      <c r="I144" s="7" t="s">
        <v>30</v>
      </c>
      <c r="J144" s="7" t="s">
        <v>31</v>
      </c>
      <c r="K144" s="7" t="str">
        <f>CONCATENATE("")</f>
        <v/>
      </c>
      <c r="L144" s="7" t="str">
        <f>CONCATENATE("10 10.1 4a")</f>
        <v>10 10.1 4a</v>
      </c>
      <c r="M144" s="7" t="str">
        <f>CONCATENATE("MZZGNN67R10D542G")</f>
        <v>MZZGNN67R10D542G</v>
      </c>
      <c r="N144" s="7" t="s">
        <v>272</v>
      </c>
      <c r="O144" s="7" t="s">
        <v>204</v>
      </c>
      <c r="P144" s="8">
        <v>44544</v>
      </c>
      <c r="Q144" s="7" t="s">
        <v>32</v>
      </c>
      <c r="R144" s="7" t="s">
        <v>33</v>
      </c>
      <c r="S144" s="7" t="s">
        <v>34</v>
      </c>
      <c r="T144" s="7"/>
      <c r="U144" s="7" t="s">
        <v>35</v>
      </c>
      <c r="V144" s="9">
        <v>3021.44</v>
      </c>
      <c r="W144" s="9">
        <v>1302.8399999999999</v>
      </c>
      <c r="X144" s="9">
        <v>1203.1400000000001</v>
      </c>
      <c r="Y144" s="7">
        <v>0</v>
      </c>
      <c r="Z144" s="7">
        <v>515.46</v>
      </c>
    </row>
    <row r="145" spans="1:26" x14ac:dyDescent="0.35">
      <c r="A145" s="7" t="s">
        <v>27</v>
      </c>
      <c r="B145" s="7" t="s">
        <v>43</v>
      </c>
      <c r="C145" s="7" t="s">
        <v>50</v>
      </c>
      <c r="D145" s="7" t="s">
        <v>59</v>
      </c>
      <c r="E145" s="7" t="s">
        <v>37</v>
      </c>
      <c r="F145" s="7" t="s">
        <v>273</v>
      </c>
      <c r="G145" s="7">
        <v>2021</v>
      </c>
      <c r="H145" s="7" t="str">
        <f>CONCATENATE("14240946203")</f>
        <v>14240946203</v>
      </c>
      <c r="I145" s="7" t="s">
        <v>30</v>
      </c>
      <c r="J145" s="7" t="s">
        <v>31</v>
      </c>
      <c r="K145" s="7" t="str">
        <f>CONCATENATE("")</f>
        <v/>
      </c>
      <c r="L145" s="7" t="str">
        <f>CONCATENATE("11 11.2 4b")</f>
        <v>11 11.2 4b</v>
      </c>
      <c r="M145" s="7" t="str">
        <f>CONCATENATE("GSPSDR73D46A462O")</f>
        <v>GSPSDR73D46A462O</v>
      </c>
      <c r="N145" s="7" t="s">
        <v>274</v>
      </c>
      <c r="O145" s="7" t="s">
        <v>166</v>
      </c>
      <c r="P145" s="8">
        <v>44546</v>
      </c>
      <c r="Q145" s="7" t="s">
        <v>32</v>
      </c>
      <c r="R145" s="7" t="s">
        <v>33</v>
      </c>
      <c r="S145" s="7" t="s">
        <v>34</v>
      </c>
      <c r="T145" s="7"/>
      <c r="U145" s="7" t="s">
        <v>35</v>
      </c>
      <c r="V145" s="9">
        <v>5529.17</v>
      </c>
      <c r="W145" s="9">
        <v>2384.1799999999998</v>
      </c>
      <c r="X145" s="9">
        <v>2201.7199999999998</v>
      </c>
      <c r="Y145" s="7">
        <v>0</v>
      </c>
      <c r="Z145" s="7">
        <v>943.27</v>
      </c>
    </row>
    <row r="146" spans="1:26" x14ac:dyDescent="0.35">
      <c r="A146" s="7" t="s">
        <v>27</v>
      </c>
      <c r="B146" s="7" t="s">
        <v>43</v>
      </c>
      <c r="C146" s="7" t="s">
        <v>50</v>
      </c>
      <c r="D146" s="7" t="s">
        <v>59</v>
      </c>
      <c r="E146" s="7" t="s">
        <v>38</v>
      </c>
      <c r="F146" s="7" t="s">
        <v>269</v>
      </c>
      <c r="G146" s="7">
        <v>2021</v>
      </c>
      <c r="H146" s="7" t="str">
        <f>CONCATENATE("14241362053")</f>
        <v>14241362053</v>
      </c>
      <c r="I146" s="7" t="s">
        <v>30</v>
      </c>
      <c r="J146" s="7" t="s">
        <v>31</v>
      </c>
      <c r="K146" s="7" t="str">
        <f>CONCATENATE("")</f>
        <v/>
      </c>
      <c r="L146" s="7" t="str">
        <f>CONCATENATE("10 10.1 4a")</f>
        <v>10 10.1 4a</v>
      </c>
      <c r="M146" s="7" t="str">
        <f>CONCATENATE("14446391006")</f>
        <v>14446391006</v>
      </c>
      <c r="N146" s="7" t="s">
        <v>275</v>
      </c>
      <c r="O146" s="7" t="s">
        <v>204</v>
      </c>
      <c r="P146" s="8">
        <v>44544</v>
      </c>
      <c r="Q146" s="7" t="s">
        <v>32</v>
      </c>
      <c r="R146" s="7" t="s">
        <v>33</v>
      </c>
      <c r="S146" s="7" t="s">
        <v>34</v>
      </c>
      <c r="T146" s="7"/>
      <c r="U146" s="7" t="s">
        <v>35</v>
      </c>
      <c r="V146" s="9">
        <v>1640.88</v>
      </c>
      <c r="W146" s="7">
        <v>707.55</v>
      </c>
      <c r="X146" s="7">
        <v>653.4</v>
      </c>
      <c r="Y146" s="7">
        <v>0</v>
      </c>
      <c r="Z146" s="7">
        <v>279.93</v>
      </c>
    </row>
    <row r="147" spans="1:26" x14ac:dyDescent="0.35">
      <c r="A147" s="7" t="s">
        <v>27</v>
      </c>
      <c r="B147" s="7" t="s">
        <v>43</v>
      </c>
      <c r="C147" s="7" t="s">
        <v>50</v>
      </c>
      <c r="D147" s="7" t="s">
        <v>95</v>
      </c>
      <c r="E147" s="7" t="s">
        <v>41</v>
      </c>
      <c r="F147" s="7" t="s">
        <v>276</v>
      </c>
      <c r="G147" s="7">
        <v>2021</v>
      </c>
      <c r="H147" s="7" t="str">
        <f>CONCATENATE("14241182832")</f>
        <v>14241182832</v>
      </c>
      <c r="I147" s="7" t="s">
        <v>30</v>
      </c>
      <c r="J147" s="7" t="s">
        <v>31</v>
      </c>
      <c r="K147" s="7" t="str">
        <f>CONCATENATE("")</f>
        <v/>
      </c>
      <c r="L147" s="7" t="str">
        <f>CONCATENATE("10 10.1 4a")</f>
        <v>10 10.1 4a</v>
      </c>
      <c r="M147" s="7" t="str">
        <f>CONCATENATE("RTNFNC83R25I156R")</f>
        <v>RTNFNC83R25I156R</v>
      </c>
      <c r="N147" s="7" t="s">
        <v>277</v>
      </c>
      <c r="O147" s="7" t="s">
        <v>219</v>
      </c>
      <c r="P147" s="8">
        <v>44545</v>
      </c>
      <c r="Q147" s="7" t="s">
        <v>32</v>
      </c>
      <c r="R147" s="7" t="s">
        <v>33</v>
      </c>
      <c r="S147" s="7" t="s">
        <v>34</v>
      </c>
      <c r="T147" s="7"/>
      <c r="U147" s="7" t="s">
        <v>35</v>
      </c>
      <c r="V147" s="9">
        <v>1245.3599999999999</v>
      </c>
      <c r="W147" s="7">
        <v>537</v>
      </c>
      <c r="X147" s="7">
        <v>495.9</v>
      </c>
      <c r="Y147" s="7">
        <v>0</v>
      </c>
      <c r="Z147" s="7">
        <v>212.46</v>
      </c>
    </row>
    <row r="148" spans="1:26" x14ac:dyDescent="0.35">
      <c r="A148" s="7" t="s">
        <v>27</v>
      </c>
      <c r="B148" s="7" t="s">
        <v>43</v>
      </c>
      <c r="C148" s="7" t="s">
        <v>50</v>
      </c>
      <c r="D148" s="7" t="s">
        <v>59</v>
      </c>
      <c r="E148" s="7" t="s">
        <v>29</v>
      </c>
      <c r="F148" s="7" t="s">
        <v>60</v>
      </c>
      <c r="G148" s="7">
        <v>2021</v>
      </c>
      <c r="H148" s="7" t="str">
        <f>CONCATENATE("14241081877")</f>
        <v>14241081877</v>
      </c>
      <c r="I148" s="7" t="s">
        <v>30</v>
      </c>
      <c r="J148" s="7" t="s">
        <v>31</v>
      </c>
      <c r="K148" s="7" t="str">
        <f>CONCATENATE("")</f>
        <v/>
      </c>
      <c r="L148" s="7" t="str">
        <f>CONCATENATE("10 10.1 4a")</f>
        <v>10 10.1 4a</v>
      </c>
      <c r="M148" s="7" t="str">
        <f>CONCATENATE("PLLGPP53R02F536D")</f>
        <v>PLLGPP53R02F536D</v>
      </c>
      <c r="N148" s="7" t="s">
        <v>278</v>
      </c>
      <c r="O148" s="7" t="s">
        <v>204</v>
      </c>
      <c r="P148" s="8">
        <v>44544</v>
      </c>
      <c r="Q148" s="7" t="s">
        <v>32</v>
      </c>
      <c r="R148" s="7" t="s">
        <v>33</v>
      </c>
      <c r="S148" s="7" t="s">
        <v>34</v>
      </c>
      <c r="T148" s="7"/>
      <c r="U148" s="7" t="s">
        <v>35</v>
      </c>
      <c r="V148" s="9">
        <v>2171</v>
      </c>
      <c r="W148" s="7">
        <v>936.14</v>
      </c>
      <c r="X148" s="7">
        <v>864.49</v>
      </c>
      <c r="Y148" s="7">
        <v>0</v>
      </c>
      <c r="Z148" s="7">
        <v>370.37</v>
      </c>
    </row>
    <row r="149" spans="1:26" x14ac:dyDescent="0.35">
      <c r="A149" s="7" t="s">
        <v>27</v>
      </c>
      <c r="B149" s="7" t="s">
        <v>43</v>
      </c>
      <c r="C149" s="7" t="s">
        <v>50</v>
      </c>
      <c r="D149" s="7" t="s">
        <v>95</v>
      </c>
      <c r="E149" s="7" t="s">
        <v>38</v>
      </c>
      <c r="F149" s="7" t="s">
        <v>279</v>
      </c>
      <c r="G149" s="7">
        <v>2021</v>
      </c>
      <c r="H149" s="7" t="str">
        <f>CONCATENATE("14241130963")</f>
        <v>14241130963</v>
      </c>
      <c r="I149" s="7" t="s">
        <v>30</v>
      </c>
      <c r="J149" s="7" t="s">
        <v>31</v>
      </c>
      <c r="K149" s="7" t="str">
        <f>CONCATENATE("")</f>
        <v/>
      </c>
      <c r="L149" s="7" t="str">
        <f>CONCATENATE("14 14.1 3a")</f>
        <v>14 14.1 3a</v>
      </c>
      <c r="M149" s="7" t="str">
        <f>CONCATENATE("MRBMLL71M55G436T")</f>
        <v>MRBMLL71M55G436T</v>
      </c>
      <c r="N149" s="7" t="s">
        <v>280</v>
      </c>
      <c r="O149" s="7" t="s">
        <v>168</v>
      </c>
      <c r="P149" s="8">
        <v>44543</v>
      </c>
      <c r="Q149" s="7" t="s">
        <v>32</v>
      </c>
      <c r="R149" s="7" t="s">
        <v>33</v>
      </c>
      <c r="S149" s="7" t="s">
        <v>34</v>
      </c>
      <c r="T149" s="7"/>
      <c r="U149" s="7" t="s">
        <v>35</v>
      </c>
      <c r="V149" s="9">
        <v>4420</v>
      </c>
      <c r="W149" s="9">
        <v>1905.9</v>
      </c>
      <c r="X149" s="9">
        <v>1760.04</v>
      </c>
      <c r="Y149" s="7">
        <v>0</v>
      </c>
      <c r="Z149" s="7">
        <v>754.06</v>
      </c>
    </row>
    <row r="150" spans="1:26" x14ac:dyDescent="0.35">
      <c r="A150" s="7" t="s">
        <v>27</v>
      </c>
      <c r="B150" s="7" t="s">
        <v>43</v>
      </c>
      <c r="C150" s="7" t="s">
        <v>50</v>
      </c>
      <c r="D150" s="7" t="s">
        <v>95</v>
      </c>
      <c r="E150" s="7" t="s">
        <v>29</v>
      </c>
      <c r="F150" s="7" t="s">
        <v>235</v>
      </c>
      <c r="G150" s="7">
        <v>2021</v>
      </c>
      <c r="H150" s="7" t="str">
        <f>CONCATENATE("14241390526")</f>
        <v>14241390526</v>
      </c>
      <c r="I150" s="7" t="s">
        <v>30</v>
      </c>
      <c r="J150" s="7" t="s">
        <v>31</v>
      </c>
      <c r="K150" s="7" t="str">
        <f>CONCATENATE("")</f>
        <v/>
      </c>
      <c r="L150" s="7" t="str">
        <f>CONCATENATE("14 14.1 3a")</f>
        <v>14 14.1 3a</v>
      </c>
      <c r="M150" s="7" t="str">
        <f>CONCATENATE("CCLGNN42C21C704S")</f>
        <v>CCLGNN42C21C704S</v>
      </c>
      <c r="N150" s="7" t="s">
        <v>281</v>
      </c>
      <c r="O150" s="7" t="s">
        <v>168</v>
      </c>
      <c r="P150" s="8">
        <v>44543</v>
      </c>
      <c r="Q150" s="7" t="s">
        <v>32</v>
      </c>
      <c r="R150" s="7" t="s">
        <v>33</v>
      </c>
      <c r="S150" s="7" t="s">
        <v>34</v>
      </c>
      <c r="T150" s="7"/>
      <c r="U150" s="7" t="s">
        <v>35</v>
      </c>
      <c r="V150" s="9">
        <v>6042</v>
      </c>
      <c r="W150" s="9">
        <v>2605.31</v>
      </c>
      <c r="X150" s="9">
        <v>2405.92</v>
      </c>
      <c r="Y150" s="7">
        <v>0</v>
      </c>
      <c r="Z150" s="9">
        <v>1030.77</v>
      </c>
    </row>
    <row r="151" spans="1:26" x14ac:dyDescent="0.35">
      <c r="A151" s="7" t="s">
        <v>27</v>
      </c>
      <c r="B151" s="7" t="s">
        <v>43</v>
      </c>
      <c r="C151" s="7" t="s">
        <v>50</v>
      </c>
      <c r="D151" s="7" t="s">
        <v>59</v>
      </c>
      <c r="E151" s="7" t="s">
        <v>42</v>
      </c>
      <c r="F151" s="7" t="s">
        <v>42</v>
      </c>
      <c r="G151" s="7">
        <v>2021</v>
      </c>
      <c r="H151" s="7" t="str">
        <f>CONCATENATE("14211217600")</f>
        <v>14211217600</v>
      </c>
      <c r="I151" s="7" t="s">
        <v>30</v>
      </c>
      <c r="J151" s="7" t="s">
        <v>31</v>
      </c>
      <c r="K151" s="7" t="str">
        <f>CONCATENATE("")</f>
        <v/>
      </c>
      <c r="L151" s="7" t="str">
        <f>CONCATENATE("13 13.1 4a")</f>
        <v>13 13.1 4a</v>
      </c>
      <c r="M151" s="7" t="str">
        <f>CONCATENATE("PMPPRI72P58H390P")</f>
        <v>PMPPRI72P58H390P</v>
      </c>
      <c r="N151" s="7" t="s">
        <v>282</v>
      </c>
      <c r="O151" s="7" t="s">
        <v>175</v>
      </c>
      <c r="P151" s="8">
        <v>44546</v>
      </c>
      <c r="Q151" s="7" t="s">
        <v>32</v>
      </c>
      <c r="R151" s="7" t="s">
        <v>33</v>
      </c>
      <c r="S151" s="7" t="s">
        <v>34</v>
      </c>
      <c r="T151" s="7"/>
      <c r="U151" s="7" t="s">
        <v>35</v>
      </c>
      <c r="V151" s="7">
        <v>451.9</v>
      </c>
      <c r="W151" s="7">
        <v>194.86</v>
      </c>
      <c r="X151" s="7">
        <v>179.95</v>
      </c>
      <c r="Y151" s="7">
        <v>0</v>
      </c>
      <c r="Z151" s="7">
        <v>77.09</v>
      </c>
    </row>
    <row r="152" spans="1:26" x14ac:dyDescent="0.35">
      <c r="A152" s="7" t="s">
        <v>27</v>
      </c>
      <c r="B152" s="7" t="s">
        <v>43</v>
      </c>
      <c r="C152" s="7" t="s">
        <v>50</v>
      </c>
      <c r="D152" s="7" t="s">
        <v>95</v>
      </c>
      <c r="E152" s="7" t="s">
        <v>41</v>
      </c>
      <c r="F152" s="7" t="s">
        <v>142</v>
      </c>
      <c r="G152" s="7">
        <v>2021</v>
      </c>
      <c r="H152" s="7" t="str">
        <f>CONCATENATE("14241267443")</f>
        <v>14241267443</v>
      </c>
      <c r="I152" s="7" t="s">
        <v>30</v>
      </c>
      <c r="J152" s="7" t="s">
        <v>31</v>
      </c>
      <c r="K152" s="7" t="str">
        <f>CONCATENATE("")</f>
        <v/>
      </c>
      <c r="L152" s="7" t="str">
        <f>CONCATENATE("10 10.1 4a")</f>
        <v>10 10.1 4a</v>
      </c>
      <c r="M152" s="7" t="str">
        <f>CONCATENATE("PRMJRU95S23I156U")</f>
        <v>PRMJRU95S23I156U</v>
      </c>
      <c r="N152" s="7" t="s">
        <v>283</v>
      </c>
      <c r="O152" s="7" t="s">
        <v>219</v>
      </c>
      <c r="P152" s="8">
        <v>44545</v>
      </c>
      <c r="Q152" s="7" t="s">
        <v>32</v>
      </c>
      <c r="R152" s="7" t="s">
        <v>33</v>
      </c>
      <c r="S152" s="7" t="s">
        <v>34</v>
      </c>
      <c r="T152" s="7"/>
      <c r="U152" s="7" t="s">
        <v>35</v>
      </c>
      <c r="V152" s="7">
        <v>604.16</v>
      </c>
      <c r="W152" s="7">
        <v>260.51</v>
      </c>
      <c r="X152" s="7">
        <v>240.58</v>
      </c>
      <c r="Y152" s="7">
        <v>0</v>
      </c>
      <c r="Z152" s="7">
        <v>103.07</v>
      </c>
    </row>
    <row r="153" spans="1:26" x14ac:dyDescent="0.35">
      <c r="A153" s="7" t="s">
        <v>27</v>
      </c>
      <c r="B153" s="7" t="s">
        <v>43</v>
      </c>
      <c r="C153" s="7" t="s">
        <v>50</v>
      </c>
      <c r="D153" s="7" t="s">
        <v>95</v>
      </c>
      <c r="E153" s="7" t="s">
        <v>39</v>
      </c>
      <c r="F153" s="7" t="s">
        <v>155</v>
      </c>
      <c r="G153" s="7">
        <v>2021</v>
      </c>
      <c r="H153" s="7" t="str">
        <f>CONCATENATE("14240745407")</f>
        <v>14240745407</v>
      </c>
      <c r="I153" s="7" t="s">
        <v>30</v>
      </c>
      <c r="J153" s="7" t="s">
        <v>31</v>
      </c>
      <c r="K153" s="7" t="str">
        <f>CONCATENATE("")</f>
        <v/>
      </c>
      <c r="L153" s="7" t="str">
        <f>CONCATENATE("14 14.1 3a")</f>
        <v>14 14.1 3a</v>
      </c>
      <c r="M153" s="7" t="str">
        <f>CONCATENATE("DLDPRD47L14L191X")</f>
        <v>DLDPRD47L14L191X</v>
      </c>
      <c r="N153" s="7" t="s">
        <v>284</v>
      </c>
      <c r="O153" s="7" t="s">
        <v>168</v>
      </c>
      <c r="P153" s="8">
        <v>44543</v>
      </c>
      <c r="Q153" s="7" t="s">
        <v>32</v>
      </c>
      <c r="R153" s="7" t="s">
        <v>33</v>
      </c>
      <c r="S153" s="7" t="s">
        <v>34</v>
      </c>
      <c r="T153" s="7"/>
      <c r="U153" s="7" t="s">
        <v>35</v>
      </c>
      <c r="V153" s="9">
        <v>17912.400000000001</v>
      </c>
      <c r="W153" s="9">
        <v>7723.83</v>
      </c>
      <c r="X153" s="9">
        <v>7132.72</v>
      </c>
      <c r="Y153" s="7">
        <v>0</v>
      </c>
      <c r="Z153" s="9">
        <v>3055.85</v>
      </c>
    </row>
    <row r="154" spans="1:26" x14ac:dyDescent="0.35">
      <c r="A154" s="7" t="s">
        <v>27</v>
      </c>
      <c r="B154" s="7" t="s">
        <v>43</v>
      </c>
      <c r="C154" s="7" t="s">
        <v>50</v>
      </c>
      <c r="D154" s="7" t="s">
        <v>95</v>
      </c>
      <c r="E154" s="7" t="s">
        <v>41</v>
      </c>
      <c r="F154" s="7" t="s">
        <v>142</v>
      </c>
      <c r="G154" s="7">
        <v>2021</v>
      </c>
      <c r="H154" s="7" t="str">
        <f>CONCATENATE("14240880246")</f>
        <v>14240880246</v>
      </c>
      <c r="I154" s="7" t="s">
        <v>30</v>
      </c>
      <c r="J154" s="7" t="s">
        <v>31</v>
      </c>
      <c r="K154" s="7" t="str">
        <f>CONCATENATE("")</f>
        <v/>
      </c>
      <c r="L154" s="7" t="str">
        <f>CONCATENATE("10 10.1 4a")</f>
        <v>10 10.1 4a</v>
      </c>
      <c r="M154" s="7" t="str">
        <f>CONCATENATE("CCCRNZ49T31I156H")</f>
        <v>CCCRNZ49T31I156H</v>
      </c>
      <c r="N154" s="7" t="s">
        <v>285</v>
      </c>
      <c r="O154" s="7" t="s">
        <v>219</v>
      </c>
      <c r="P154" s="8">
        <v>44545</v>
      </c>
      <c r="Q154" s="7" t="s">
        <v>32</v>
      </c>
      <c r="R154" s="7" t="s">
        <v>33</v>
      </c>
      <c r="S154" s="7" t="s">
        <v>34</v>
      </c>
      <c r="T154" s="7"/>
      <c r="U154" s="7" t="s">
        <v>35</v>
      </c>
      <c r="V154" s="7">
        <v>946.6</v>
      </c>
      <c r="W154" s="7">
        <v>408.17</v>
      </c>
      <c r="X154" s="7">
        <v>376.94</v>
      </c>
      <c r="Y154" s="7">
        <v>0</v>
      </c>
      <c r="Z154" s="7">
        <v>161.49</v>
      </c>
    </row>
    <row r="155" spans="1:26" x14ac:dyDescent="0.35">
      <c r="A155" s="7" t="s">
        <v>27</v>
      </c>
      <c r="B155" s="7" t="s">
        <v>43</v>
      </c>
      <c r="C155" s="7" t="s">
        <v>50</v>
      </c>
      <c r="D155" s="7" t="s">
        <v>59</v>
      </c>
      <c r="E155" s="7" t="s">
        <v>38</v>
      </c>
      <c r="F155" s="7" t="s">
        <v>279</v>
      </c>
      <c r="G155" s="7">
        <v>2021</v>
      </c>
      <c r="H155" s="7" t="str">
        <f>CONCATENATE("14240956194")</f>
        <v>14240956194</v>
      </c>
      <c r="I155" s="7" t="s">
        <v>30</v>
      </c>
      <c r="J155" s="7" t="s">
        <v>31</v>
      </c>
      <c r="K155" s="7" t="str">
        <f>CONCATENATE("")</f>
        <v/>
      </c>
      <c r="L155" s="7" t="str">
        <f>CONCATENATE("11 11.2 4b")</f>
        <v>11 11.2 4b</v>
      </c>
      <c r="M155" s="7" t="str">
        <f>CONCATENATE("BLLFBA73P10I315W")</f>
        <v>BLLFBA73P10I315W</v>
      </c>
      <c r="N155" s="7" t="s">
        <v>286</v>
      </c>
      <c r="O155" s="7" t="s">
        <v>264</v>
      </c>
      <c r="P155" s="8">
        <v>44540</v>
      </c>
      <c r="Q155" s="7" t="s">
        <v>32</v>
      </c>
      <c r="R155" s="7" t="s">
        <v>33</v>
      </c>
      <c r="S155" s="7" t="s">
        <v>34</v>
      </c>
      <c r="T155" s="7"/>
      <c r="U155" s="7" t="s">
        <v>35</v>
      </c>
      <c r="V155" s="7">
        <v>325.79000000000002</v>
      </c>
      <c r="W155" s="7">
        <v>140.47999999999999</v>
      </c>
      <c r="X155" s="7">
        <v>129.72999999999999</v>
      </c>
      <c r="Y155" s="7">
        <v>0</v>
      </c>
      <c r="Z155" s="7">
        <v>55.58</v>
      </c>
    </row>
    <row r="156" spans="1:26" x14ac:dyDescent="0.35">
      <c r="A156" s="7" t="s">
        <v>27</v>
      </c>
      <c r="B156" s="7" t="s">
        <v>43</v>
      </c>
      <c r="C156" s="7" t="s">
        <v>50</v>
      </c>
      <c r="D156" s="7" t="s">
        <v>59</v>
      </c>
      <c r="E156" s="7" t="s">
        <v>41</v>
      </c>
      <c r="F156" s="7" t="s">
        <v>142</v>
      </c>
      <c r="G156" s="7">
        <v>2021</v>
      </c>
      <c r="H156" s="7" t="str">
        <f>CONCATENATE("14241378018")</f>
        <v>14241378018</v>
      </c>
      <c r="I156" s="7" t="s">
        <v>30</v>
      </c>
      <c r="J156" s="7" t="s">
        <v>31</v>
      </c>
      <c r="K156" s="7" t="str">
        <f>CONCATENATE("")</f>
        <v/>
      </c>
      <c r="L156" s="7" t="str">
        <f>CONCATENATE("11 11.2 4b")</f>
        <v>11 11.2 4b</v>
      </c>
      <c r="M156" s="7" t="str">
        <f>CONCATENATE("CPRLNU73L69I324A")</f>
        <v>CPRLNU73L69I324A</v>
      </c>
      <c r="N156" s="7" t="s">
        <v>287</v>
      </c>
      <c r="O156" s="7" t="s">
        <v>166</v>
      </c>
      <c r="P156" s="8">
        <v>44546</v>
      </c>
      <c r="Q156" s="7" t="s">
        <v>32</v>
      </c>
      <c r="R156" s="7" t="s">
        <v>33</v>
      </c>
      <c r="S156" s="7" t="s">
        <v>34</v>
      </c>
      <c r="T156" s="7"/>
      <c r="U156" s="7" t="s">
        <v>35</v>
      </c>
      <c r="V156" s="9">
        <v>2249.16</v>
      </c>
      <c r="W156" s="7">
        <v>969.84</v>
      </c>
      <c r="X156" s="7">
        <v>895.62</v>
      </c>
      <c r="Y156" s="7">
        <v>0</v>
      </c>
      <c r="Z156" s="7">
        <v>383.7</v>
      </c>
    </row>
    <row r="157" spans="1:26" x14ac:dyDescent="0.35">
      <c r="A157" s="7" t="s">
        <v>27</v>
      </c>
      <c r="B157" s="7" t="s">
        <v>43</v>
      </c>
      <c r="C157" s="7" t="s">
        <v>50</v>
      </c>
      <c r="D157" s="7" t="s">
        <v>59</v>
      </c>
      <c r="E157" s="7" t="s">
        <v>29</v>
      </c>
      <c r="F157" s="7" t="s">
        <v>224</v>
      </c>
      <c r="G157" s="7">
        <v>2021</v>
      </c>
      <c r="H157" s="7" t="str">
        <f>CONCATENATE("14240322603")</f>
        <v>14240322603</v>
      </c>
      <c r="I157" s="7" t="s">
        <v>30</v>
      </c>
      <c r="J157" s="7" t="s">
        <v>31</v>
      </c>
      <c r="K157" s="7" t="str">
        <f>CONCATENATE("")</f>
        <v/>
      </c>
      <c r="L157" s="7" t="str">
        <f>CONCATENATE("11 11.2 4b")</f>
        <v>11 11.2 4b</v>
      </c>
      <c r="M157" s="7" t="str">
        <f>CONCATENATE("GRMMSM63P04E447U")</f>
        <v>GRMMSM63P04E447U</v>
      </c>
      <c r="N157" s="7" t="s">
        <v>288</v>
      </c>
      <c r="O157" s="7" t="s">
        <v>166</v>
      </c>
      <c r="P157" s="8">
        <v>44546</v>
      </c>
      <c r="Q157" s="7" t="s">
        <v>32</v>
      </c>
      <c r="R157" s="7" t="s">
        <v>33</v>
      </c>
      <c r="S157" s="7" t="s">
        <v>34</v>
      </c>
      <c r="T157" s="7"/>
      <c r="U157" s="7" t="s">
        <v>35</v>
      </c>
      <c r="V157" s="7">
        <v>997.32</v>
      </c>
      <c r="W157" s="7">
        <v>430.04</v>
      </c>
      <c r="X157" s="7">
        <v>397.13</v>
      </c>
      <c r="Y157" s="7">
        <v>0</v>
      </c>
      <c r="Z157" s="7">
        <v>170.15</v>
      </c>
    </row>
    <row r="158" spans="1:26" x14ac:dyDescent="0.35">
      <c r="A158" s="7" t="s">
        <v>27</v>
      </c>
      <c r="B158" s="7" t="s">
        <v>43</v>
      </c>
      <c r="C158" s="7" t="s">
        <v>50</v>
      </c>
      <c r="D158" s="7" t="s">
        <v>95</v>
      </c>
      <c r="E158" s="7" t="s">
        <v>41</v>
      </c>
      <c r="F158" s="7" t="s">
        <v>144</v>
      </c>
      <c r="G158" s="7">
        <v>2021</v>
      </c>
      <c r="H158" s="7" t="str">
        <f>CONCATENATE("14210666906")</f>
        <v>14210666906</v>
      </c>
      <c r="I158" s="7" t="s">
        <v>30</v>
      </c>
      <c r="J158" s="7" t="s">
        <v>31</v>
      </c>
      <c r="K158" s="7" t="str">
        <f>CONCATENATE("")</f>
        <v/>
      </c>
      <c r="L158" s="7" t="str">
        <f>CONCATENATE("13 13.1 4a")</f>
        <v>13 13.1 4a</v>
      </c>
      <c r="M158" s="7" t="str">
        <f>CONCATENATE("LTTGNB95T03B474H")</f>
        <v>LTTGNB95T03B474H</v>
      </c>
      <c r="N158" s="7" t="s">
        <v>289</v>
      </c>
      <c r="O158" s="7" t="s">
        <v>175</v>
      </c>
      <c r="P158" s="8">
        <v>44546</v>
      </c>
      <c r="Q158" s="7" t="s">
        <v>32</v>
      </c>
      <c r="R158" s="7" t="s">
        <v>33</v>
      </c>
      <c r="S158" s="7" t="s">
        <v>34</v>
      </c>
      <c r="T158" s="7"/>
      <c r="U158" s="7" t="s">
        <v>35</v>
      </c>
      <c r="V158" s="9">
        <v>9000</v>
      </c>
      <c r="W158" s="9">
        <v>3880.8</v>
      </c>
      <c r="X158" s="9">
        <v>3583.8</v>
      </c>
      <c r="Y158" s="7">
        <v>0</v>
      </c>
      <c r="Z158" s="9">
        <v>1535.4</v>
      </c>
    </row>
    <row r="159" spans="1:26" x14ac:dyDescent="0.35">
      <c r="A159" s="7" t="s">
        <v>27</v>
      </c>
      <c r="B159" s="7" t="s">
        <v>43</v>
      </c>
      <c r="C159" s="7" t="s">
        <v>50</v>
      </c>
      <c r="D159" s="7" t="s">
        <v>95</v>
      </c>
      <c r="E159" s="7" t="s">
        <v>41</v>
      </c>
      <c r="F159" s="7" t="s">
        <v>144</v>
      </c>
      <c r="G159" s="7">
        <v>2021</v>
      </c>
      <c r="H159" s="7" t="str">
        <f>CONCATENATE("14210368172")</f>
        <v>14210368172</v>
      </c>
      <c r="I159" s="7" t="s">
        <v>30</v>
      </c>
      <c r="J159" s="7" t="s">
        <v>31</v>
      </c>
      <c r="K159" s="7" t="str">
        <f>CONCATENATE("")</f>
        <v/>
      </c>
      <c r="L159" s="7" t="str">
        <f>CONCATENATE("13 13.1 4a")</f>
        <v>13 13.1 4a</v>
      </c>
      <c r="M159" s="7" t="str">
        <f>CONCATENATE("PSCCRL59S10B474F")</f>
        <v>PSCCRL59S10B474F</v>
      </c>
      <c r="N159" s="7" t="s">
        <v>290</v>
      </c>
      <c r="O159" s="7" t="s">
        <v>175</v>
      </c>
      <c r="P159" s="8">
        <v>44546</v>
      </c>
      <c r="Q159" s="7" t="s">
        <v>32</v>
      </c>
      <c r="R159" s="7" t="s">
        <v>33</v>
      </c>
      <c r="S159" s="7" t="s">
        <v>34</v>
      </c>
      <c r="T159" s="7"/>
      <c r="U159" s="7" t="s">
        <v>35</v>
      </c>
      <c r="V159" s="9">
        <v>3871.06</v>
      </c>
      <c r="W159" s="9">
        <v>1669.2</v>
      </c>
      <c r="X159" s="9">
        <v>1541.46</v>
      </c>
      <c r="Y159" s="7">
        <v>0</v>
      </c>
      <c r="Z159" s="7">
        <v>660.4</v>
      </c>
    </row>
    <row r="160" spans="1:26" x14ac:dyDescent="0.35">
      <c r="A160" s="7" t="s">
        <v>27</v>
      </c>
      <c r="B160" s="7" t="s">
        <v>43</v>
      </c>
      <c r="C160" s="7" t="s">
        <v>50</v>
      </c>
      <c r="D160" s="7" t="s">
        <v>55</v>
      </c>
      <c r="E160" s="7" t="s">
        <v>38</v>
      </c>
      <c r="F160" s="7" t="s">
        <v>78</v>
      </c>
      <c r="G160" s="7">
        <v>2021</v>
      </c>
      <c r="H160" s="7" t="str">
        <f>CONCATENATE("14210993243")</f>
        <v>14210993243</v>
      </c>
      <c r="I160" s="7" t="s">
        <v>30</v>
      </c>
      <c r="J160" s="7" t="s">
        <v>31</v>
      </c>
      <c r="K160" s="7" t="str">
        <f>CONCATENATE("")</f>
        <v/>
      </c>
      <c r="L160" s="7" t="str">
        <f>CONCATENATE("13 13.1 4a")</f>
        <v>13 13.1 4a</v>
      </c>
      <c r="M160" s="7" t="str">
        <f>CONCATENATE("00170370415")</f>
        <v>00170370415</v>
      </c>
      <c r="N160" s="7" t="s">
        <v>291</v>
      </c>
      <c r="O160" s="7" t="s">
        <v>175</v>
      </c>
      <c r="P160" s="8">
        <v>44546</v>
      </c>
      <c r="Q160" s="7" t="s">
        <v>32</v>
      </c>
      <c r="R160" s="7" t="s">
        <v>33</v>
      </c>
      <c r="S160" s="7" t="s">
        <v>34</v>
      </c>
      <c r="T160" s="7"/>
      <c r="U160" s="7" t="s">
        <v>35</v>
      </c>
      <c r="V160" s="9">
        <v>9000</v>
      </c>
      <c r="W160" s="9">
        <v>3880.8</v>
      </c>
      <c r="X160" s="9">
        <v>3583.8</v>
      </c>
      <c r="Y160" s="7">
        <v>0</v>
      </c>
      <c r="Z160" s="9">
        <v>1535.4</v>
      </c>
    </row>
    <row r="161" spans="1:26" x14ac:dyDescent="0.35">
      <c r="A161" s="7" t="s">
        <v>27</v>
      </c>
      <c r="B161" s="7" t="s">
        <v>43</v>
      </c>
      <c r="C161" s="7" t="s">
        <v>50</v>
      </c>
      <c r="D161" s="7" t="s">
        <v>95</v>
      </c>
      <c r="E161" s="7" t="s">
        <v>29</v>
      </c>
      <c r="F161" s="7" t="s">
        <v>147</v>
      </c>
      <c r="G161" s="7">
        <v>2021</v>
      </c>
      <c r="H161" s="7" t="str">
        <f>CONCATENATE("14210334216")</f>
        <v>14210334216</v>
      </c>
      <c r="I161" s="7" t="s">
        <v>30</v>
      </c>
      <c r="J161" s="7" t="s">
        <v>31</v>
      </c>
      <c r="K161" s="7" t="str">
        <f>CONCATENATE("")</f>
        <v/>
      </c>
      <c r="L161" s="7" t="str">
        <f>CONCATENATE("13 13.1 4a")</f>
        <v>13 13.1 4a</v>
      </c>
      <c r="M161" s="7" t="str">
        <f>CONCATENATE("01815300437")</f>
        <v>01815300437</v>
      </c>
      <c r="N161" s="7" t="s">
        <v>292</v>
      </c>
      <c r="O161" s="7" t="s">
        <v>175</v>
      </c>
      <c r="P161" s="8">
        <v>44546</v>
      </c>
      <c r="Q161" s="7" t="s">
        <v>32</v>
      </c>
      <c r="R161" s="7" t="s">
        <v>33</v>
      </c>
      <c r="S161" s="7" t="s">
        <v>34</v>
      </c>
      <c r="T161" s="7"/>
      <c r="U161" s="7" t="s">
        <v>35</v>
      </c>
      <c r="V161" s="9">
        <v>9000</v>
      </c>
      <c r="W161" s="9">
        <v>3880.8</v>
      </c>
      <c r="X161" s="9">
        <v>3583.8</v>
      </c>
      <c r="Y161" s="7">
        <v>0</v>
      </c>
      <c r="Z161" s="9">
        <v>1535.4</v>
      </c>
    </row>
    <row r="162" spans="1:26" x14ac:dyDescent="0.35">
      <c r="A162" s="7" t="s">
        <v>27</v>
      </c>
      <c r="B162" s="7" t="s">
        <v>43</v>
      </c>
      <c r="C162" s="7" t="s">
        <v>50</v>
      </c>
      <c r="D162" s="7" t="s">
        <v>55</v>
      </c>
      <c r="E162" s="7" t="s">
        <v>36</v>
      </c>
      <c r="F162" s="7" t="s">
        <v>191</v>
      </c>
      <c r="G162" s="7">
        <v>2020</v>
      </c>
      <c r="H162" s="7" t="str">
        <f>CONCATENATE("04211279320")</f>
        <v>04211279320</v>
      </c>
      <c r="I162" s="7" t="s">
        <v>30</v>
      </c>
      <c r="J162" s="7" t="s">
        <v>31</v>
      </c>
      <c r="K162" s="7" t="str">
        <f>CONCATENATE("")</f>
        <v/>
      </c>
      <c r="L162" s="7" t="str">
        <f>CONCATENATE("13 13.1 4a")</f>
        <v>13 13.1 4a</v>
      </c>
      <c r="M162" s="7" t="str">
        <f>CONCATENATE("03831890409")</f>
        <v>03831890409</v>
      </c>
      <c r="N162" s="7" t="s">
        <v>293</v>
      </c>
      <c r="O162" s="7" t="s">
        <v>175</v>
      </c>
      <c r="P162" s="8">
        <v>44546</v>
      </c>
      <c r="Q162" s="7" t="s">
        <v>32</v>
      </c>
      <c r="R162" s="7" t="s">
        <v>33</v>
      </c>
      <c r="S162" s="7" t="s">
        <v>34</v>
      </c>
      <c r="T162" s="7"/>
      <c r="U162" s="7" t="s">
        <v>35</v>
      </c>
      <c r="V162" s="7">
        <v>952.96</v>
      </c>
      <c r="W162" s="7">
        <v>410.92</v>
      </c>
      <c r="X162" s="7">
        <v>379.47</v>
      </c>
      <c r="Y162" s="7">
        <v>0</v>
      </c>
      <c r="Z162" s="7">
        <v>162.57</v>
      </c>
    </row>
    <row r="163" spans="1:26" x14ac:dyDescent="0.35">
      <c r="A163" s="7" t="s">
        <v>27</v>
      </c>
      <c r="B163" s="7" t="s">
        <v>43</v>
      </c>
      <c r="C163" s="7" t="s">
        <v>50</v>
      </c>
      <c r="D163" s="7" t="s">
        <v>55</v>
      </c>
      <c r="E163" s="7" t="s">
        <v>36</v>
      </c>
      <c r="F163" s="7" t="s">
        <v>191</v>
      </c>
      <c r="G163" s="7">
        <v>2020</v>
      </c>
      <c r="H163" s="7" t="str">
        <f>CONCATENATE("04211279312")</f>
        <v>04211279312</v>
      </c>
      <c r="I163" s="7" t="s">
        <v>30</v>
      </c>
      <c r="J163" s="7" t="s">
        <v>31</v>
      </c>
      <c r="K163" s="7" t="str">
        <f>CONCATENATE("")</f>
        <v/>
      </c>
      <c r="L163" s="7" t="str">
        <f>CONCATENATE("13 13.1 4a")</f>
        <v>13 13.1 4a</v>
      </c>
      <c r="M163" s="7" t="str">
        <f>CONCATENATE("CRZPLA74D27I459Y")</f>
        <v>CRZPLA74D27I459Y</v>
      </c>
      <c r="N163" s="7" t="s">
        <v>294</v>
      </c>
      <c r="O163" s="7" t="s">
        <v>175</v>
      </c>
      <c r="P163" s="8">
        <v>44546</v>
      </c>
      <c r="Q163" s="7" t="s">
        <v>32</v>
      </c>
      <c r="R163" s="7" t="s">
        <v>33</v>
      </c>
      <c r="S163" s="7" t="s">
        <v>34</v>
      </c>
      <c r="T163" s="7"/>
      <c r="U163" s="7" t="s">
        <v>35</v>
      </c>
      <c r="V163" s="9">
        <v>5286.57</v>
      </c>
      <c r="W163" s="9">
        <v>2279.5700000000002</v>
      </c>
      <c r="X163" s="9">
        <v>2105.11</v>
      </c>
      <c r="Y163" s="7">
        <v>0</v>
      </c>
      <c r="Z163" s="7">
        <v>901.89</v>
      </c>
    </row>
    <row r="164" spans="1:26" ht="17.5" x14ac:dyDescent="0.35">
      <c r="A164" s="7" t="s">
        <v>27</v>
      </c>
      <c r="B164" s="7" t="s">
        <v>43</v>
      </c>
      <c r="C164" s="7" t="s">
        <v>50</v>
      </c>
      <c r="D164" s="7" t="s">
        <v>55</v>
      </c>
      <c r="E164" s="7" t="s">
        <v>36</v>
      </c>
      <c r="F164" s="7" t="s">
        <v>191</v>
      </c>
      <c r="G164" s="7">
        <v>2020</v>
      </c>
      <c r="H164" s="7" t="str">
        <f>CONCATENATE("04211279353")</f>
        <v>04211279353</v>
      </c>
      <c r="I164" s="7" t="s">
        <v>30</v>
      </c>
      <c r="J164" s="7" t="s">
        <v>31</v>
      </c>
      <c r="K164" s="7" t="str">
        <f>CONCATENATE("")</f>
        <v/>
      </c>
      <c r="L164" s="7" t="str">
        <f>CONCATENATE("13 13.1 4a")</f>
        <v>13 13.1 4a</v>
      </c>
      <c r="M164" s="7" t="str">
        <f>CONCATENATE("03507620403")</f>
        <v>03507620403</v>
      </c>
      <c r="N164" s="7" t="s">
        <v>295</v>
      </c>
      <c r="O164" s="7" t="s">
        <v>175</v>
      </c>
      <c r="P164" s="8">
        <v>44546</v>
      </c>
      <c r="Q164" s="7" t="s">
        <v>32</v>
      </c>
      <c r="R164" s="7" t="s">
        <v>33</v>
      </c>
      <c r="S164" s="7" t="s">
        <v>34</v>
      </c>
      <c r="T164" s="7"/>
      <c r="U164" s="7" t="s">
        <v>35</v>
      </c>
      <c r="V164" s="9">
        <v>5348.42</v>
      </c>
      <c r="W164" s="9">
        <v>2306.2399999999998</v>
      </c>
      <c r="X164" s="9">
        <v>2129.7399999999998</v>
      </c>
      <c r="Y164" s="7">
        <v>0</v>
      </c>
      <c r="Z164" s="7">
        <v>912.44</v>
      </c>
    </row>
    <row r="165" spans="1:26" x14ac:dyDescent="0.35">
      <c r="A165" s="7" t="s">
        <v>27</v>
      </c>
      <c r="B165" s="7" t="s">
        <v>43</v>
      </c>
      <c r="C165" s="7" t="s">
        <v>50</v>
      </c>
      <c r="D165" s="7" t="s">
        <v>51</v>
      </c>
      <c r="E165" s="7" t="s">
        <v>29</v>
      </c>
      <c r="F165" s="7" t="s">
        <v>296</v>
      </c>
      <c r="G165" s="7">
        <v>2021</v>
      </c>
      <c r="H165" s="7" t="str">
        <f>CONCATENATE("14210029188")</f>
        <v>14210029188</v>
      </c>
      <c r="I165" s="7" t="s">
        <v>30</v>
      </c>
      <c r="J165" s="7" t="s">
        <v>31</v>
      </c>
      <c r="K165" s="7" t="str">
        <f>CONCATENATE("")</f>
        <v/>
      </c>
      <c r="L165" s="7" t="str">
        <f>CONCATENATE("13 13.1 4a")</f>
        <v>13 13.1 4a</v>
      </c>
      <c r="M165" s="7" t="str">
        <f>CONCATENATE("DNGLCU59H54B474U")</f>
        <v>DNGLCU59H54B474U</v>
      </c>
      <c r="N165" s="7" t="s">
        <v>297</v>
      </c>
      <c r="O165" s="7" t="s">
        <v>175</v>
      </c>
      <c r="P165" s="8">
        <v>44546</v>
      </c>
      <c r="Q165" s="7" t="s">
        <v>32</v>
      </c>
      <c r="R165" s="7" t="s">
        <v>33</v>
      </c>
      <c r="S165" s="7" t="s">
        <v>34</v>
      </c>
      <c r="T165" s="7"/>
      <c r="U165" s="7" t="s">
        <v>35</v>
      </c>
      <c r="V165" s="7">
        <v>201.61</v>
      </c>
      <c r="W165" s="7">
        <v>86.93</v>
      </c>
      <c r="X165" s="7">
        <v>80.28</v>
      </c>
      <c r="Y165" s="7">
        <v>0</v>
      </c>
      <c r="Z165" s="7">
        <v>34.4</v>
      </c>
    </row>
    <row r="166" spans="1:26" x14ac:dyDescent="0.35">
      <c r="A166" s="7" t="s">
        <v>27</v>
      </c>
      <c r="B166" s="7" t="s">
        <v>43</v>
      </c>
      <c r="C166" s="7" t="s">
        <v>50</v>
      </c>
      <c r="D166" s="7" t="s">
        <v>95</v>
      </c>
      <c r="E166" s="7" t="s">
        <v>29</v>
      </c>
      <c r="F166" s="7" t="s">
        <v>298</v>
      </c>
      <c r="G166" s="7">
        <v>2018</v>
      </c>
      <c r="H166" s="7" t="str">
        <f>CONCATENATE("84241681174")</f>
        <v>84241681174</v>
      </c>
      <c r="I166" s="7" t="s">
        <v>30</v>
      </c>
      <c r="J166" s="7" t="s">
        <v>31</v>
      </c>
      <c r="K166" s="7" t="str">
        <f>CONCATENATE("")</f>
        <v/>
      </c>
      <c r="L166" s="7" t="str">
        <f>CONCATENATE("10 10.1 4a")</f>
        <v>10 10.1 4a</v>
      </c>
      <c r="M166" s="7" t="str">
        <f>CONCATENATE("FRRCST71E52F205B")</f>
        <v>FRRCST71E52F205B</v>
      </c>
      <c r="N166" s="7" t="s">
        <v>299</v>
      </c>
      <c r="O166" s="7" t="s">
        <v>300</v>
      </c>
      <c r="P166" s="8">
        <v>44540</v>
      </c>
      <c r="Q166" s="7" t="s">
        <v>32</v>
      </c>
      <c r="R166" s="7" t="s">
        <v>33</v>
      </c>
      <c r="S166" s="7" t="s">
        <v>34</v>
      </c>
      <c r="T166" s="7"/>
      <c r="U166" s="7" t="s">
        <v>35</v>
      </c>
      <c r="V166" s="7">
        <v>744.97</v>
      </c>
      <c r="W166" s="7">
        <v>321.23</v>
      </c>
      <c r="X166" s="7">
        <v>296.64999999999998</v>
      </c>
      <c r="Y166" s="7">
        <v>0</v>
      </c>
      <c r="Z166" s="7">
        <v>127.09</v>
      </c>
    </row>
    <row r="167" spans="1:26" x14ac:dyDescent="0.35">
      <c r="A167" s="7" t="s">
        <v>27</v>
      </c>
      <c r="B167" s="7" t="s">
        <v>43</v>
      </c>
      <c r="C167" s="7" t="s">
        <v>50</v>
      </c>
      <c r="D167" s="7" t="s">
        <v>55</v>
      </c>
      <c r="E167" s="7" t="s">
        <v>29</v>
      </c>
      <c r="F167" s="7" t="s">
        <v>91</v>
      </c>
      <c r="G167" s="7">
        <v>2018</v>
      </c>
      <c r="H167" s="7" t="str">
        <f>CONCATENATE("84240969067")</f>
        <v>84240969067</v>
      </c>
      <c r="I167" s="7" t="s">
        <v>30</v>
      </c>
      <c r="J167" s="7" t="s">
        <v>31</v>
      </c>
      <c r="K167" s="7" t="str">
        <f>CONCATENATE("")</f>
        <v/>
      </c>
      <c r="L167" s="7" t="str">
        <f>CONCATENATE("10 10.1 4a")</f>
        <v>10 10.1 4a</v>
      </c>
      <c r="M167" s="7" t="str">
        <f>CONCATENATE("RMTGCM91B05G535X")</f>
        <v>RMTGCM91B05G535X</v>
      </c>
      <c r="N167" s="7" t="s">
        <v>301</v>
      </c>
      <c r="O167" s="7" t="s">
        <v>300</v>
      </c>
      <c r="P167" s="8">
        <v>44540</v>
      </c>
      <c r="Q167" s="7" t="s">
        <v>32</v>
      </c>
      <c r="R167" s="7" t="s">
        <v>33</v>
      </c>
      <c r="S167" s="7" t="s">
        <v>34</v>
      </c>
      <c r="T167" s="7"/>
      <c r="U167" s="7" t="s">
        <v>35</v>
      </c>
      <c r="V167" s="9">
        <v>32086.11</v>
      </c>
      <c r="W167" s="9">
        <v>13835.53</v>
      </c>
      <c r="X167" s="9">
        <v>12776.69</v>
      </c>
      <c r="Y167" s="7">
        <v>0</v>
      </c>
      <c r="Z167" s="9">
        <v>5473.89</v>
      </c>
    </row>
    <row r="168" spans="1:26" x14ac:dyDescent="0.35">
      <c r="A168" s="7" t="s">
        <v>27</v>
      </c>
      <c r="B168" s="7" t="s">
        <v>43</v>
      </c>
      <c r="C168" s="7" t="s">
        <v>50</v>
      </c>
      <c r="D168" s="7" t="s">
        <v>55</v>
      </c>
      <c r="E168" s="7" t="s">
        <v>29</v>
      </c>
      <c r="F168" s="7" t="s">
        <v>91</v>
      </c>
      <c r="G168" s="7">
        <v>2020</v>
      </c>
      <c r="H168" s="7" t="str">
        <f>CONCATENATE("04240506842")</f>
        <v>04240506842</v>
      </c>
      <c r="I168" s="7" t="s">
        <v>30</v>
      </c>
      <c r="J168" s="7" t="s">
        <v>31</v>
      </c>
      <c r="K168" s="7" t="str">
        <f>CONCATENATE("")</f>
        <v/>
      </c>
      <c r="L168" s="7" t="str">
        <f>CONCATENATE("10 10.1 4a")</f>
        <v>10 10.1 4a</v>
      </c>
      <c r="M168" s="7" t="str">
        <f>CONCATENATE("RMTGCM91B05G535X")</f>
        <v>RMTGCM91B05G535X</v>
      </c>
      <c r="N168" s="7" t="s">
        <v>301</v>
      </c>
      <c r="O168" s="7" t="s">
        <v>300</v>
      </c>
      <c r="P168" s="8">
        <v>44540</v>
      </c>
      <c r="Q168" s="7" t="s">
        <v>32</v>
      </c>
      <c r="R168" s="7" t="s">
        <v>33</v>
      </c>
      <c r="S168" s="7" t="s">
        <v>34</v>
      </c>
      <c r="T168" s="7"/>
      <c r="U168" s="7" t="s">
        <v>35</v>
      </c>
      <c r="V168" s="9">
        <v>32126.48</v>
      </c>
      <c r="W168" s="9">
        <v>13852.94</v>
      </c>
      <c r="X168" s="9">
        <v>12792.76</v>
      </c>
      <c r="Y168" s="7">
        <v>0</v>
      </c>
      <c r="Z168" s="9">
        <v>5480.78</v>
      </c>
    </row>
    <row r="169" spans="1:26" x14ac:dyDescent="0.35">
      <c r="A169" s="7" t="s">
        <v>27</v>
      </c>
      <c r="B169" s="7" t="s">
        <v>28</v>
      </c>
      <c r="C169" s="7" t="s">
        <v>50</v>
      </c>
      <c r="D169" s="7" t="s">
        <v>59</v>
      </c>
      <c r="E169" s="7" t="s">
        <v>39</v>
      </c>
      <c r="F169" s="7" t="s">
        <v>302</v>
      </c>
      <c r="G169" s="7">
        <v>2017</v>
      </c>
      <c r="H169" s="7" t="str">
        <f>CONCATENATE("14270341069")</f>
        <v>14270341069</v>
      </c>
      <c r="I169" s="7" t="s">
        <v>30</v>
      </c>
      <c r="J169" s="7" t="s">
        <v>31</v>
      </c>
      <c r="K169" s="7" t="str">
        <f>CONCATENATE("")</f>
        <v/>
      </c>
      <c r="L169" s="7" t="str">
        <f>CONCATENATE("4 4.1 2a")</f>
        <v>4 4.1 2a</v>
      </c>
      <c r="M169" s="7" t="str">
        <f>CONCATENATE("PRCLCU88C52I324Z")</f>
        <v>PRCLCU88C52I324Z</v>
      </c>
      <c r="N169" s="7" t="s">
        <v>303</v>
      </c>
      <c r="O169" s="7" t="s">
        <v>304</v>
      </c>
      <c r="P169" s="8">
        <v>44543</v>
      </c>
      <c r="Q169" s="7" t="s">
        <v>32</v>
      </c>
      <c r="R169" s="7" t="s">
        <v>47</v>
      </c>
      <c r="S169" s="7" t="s">
        <v>34</v>
      </c>
      <c r="T169" s="7"/>
      <c r="U169" s="7" t="s">
        <v>35</v>
      </c>
      <c r="V169" s="9">
        <v>65274.96</v>
      </c>
      <c r="W169" s="9">
        <v>28146.560000000001</v>
      </c>
      <c r="X169" s="9">
        <v>25992.49</v>
      </c>
      <c r="Y169" s="7">
        <v>0</v>
      </c>
      <c r="Z169" s="9">
        <v>11135.91</v>
      </c>
    </row>
    <row r="170" spans="1:26" x14ac:dyDescent="0.35">
      <c r="A170" s="7" t="s">
        <v>27</v>
      </c>
      <c r="B170" s="7" t="s">
        <v>28</v>
      </c>
      <c r="C170" s="7" t="s">
        <v>50</v>
      </c>
      <c r="D170" s="7" t="s">
        <v>51</v>
      </c>
      <c r="E170" s="7" t="s">
        <v>42</v>
      </c>
      <c r="F170" s="7" t="s">
        <v>42</v>
      </c>
      <c r="G170" s="7">
        <v>2017</v>
      </c>
      <c r="H170" s="7" t="str">
        <f>CONCATENATE("14270337398")</f>
        <v>14270337398</v>
      </c>
      <c r="I170" s="7" t="s">
        <v>30</v>
      </c>
      <c r="J170" s="7" t="s">
        <v>31</v>
      </c>
      <c r="K170" s="7" t="str">
        <f>CONCATENATE("")</f>
        <v/>
      </c>
      <c r="L170" s="7" t="str">
        <f>CONCATENATE("6 6.4 2a")</f>
        <v>6 6.4 2a</v>
      </c>
      <c r="M170" s="7" t="str">
        <f>CONCATENATE("02747110423")</f>
        <v>02747110423</v>
      </c>
      <c r="N170" s="7" t="s">
        <v>100</v>
      </c>
      <c r="O170" s="7" t="s">
        <v>305</v>
      </c>
      <c r="P170" s="8">
        <v>44543</v>
      </c>
      <c r="Q170" s="7" t="s">
        <v>32</v>
      </c>
      <c r="R170" s="7" t="s">
        <v>33</v>
      </c>
      <c r="S170" s="7" t="s">
        <v>34</v>
      </c>
      <c r="T170" s="7"/>
      <c r="U170" s="7" t="s">
        <v>35</v>
      </c>
      <c r="V170" s="9">
        <v>199513.84</v>
      </c>
      <c r="W170" s="9">
        <v>86030.37</v>
      </c>
      <c r="X170" s="9">
        <v>79446.41</v>
      </c>
      <c r="Y170" s="7">
        <v>0</v>
      </c>
      <c r="Z170" s="9">
        <v>34037.06</v>
      </c>
    </row>
    <row r="171" spans="1:26" x14ac:dyDescent="0.35">
      <c r="A171" s="7" t="s">
        <v>27</v>
      </c>
      <c r="B171" s="7" t="s">
        <v>28</v>
      </c>
      <c r="C171" s="7" t="s">
        <v>50</v>
      </c>
      <c r="D171" s="7" t="s">
        <v>59</v>
      </c>
      <c r="E171" s="7" t="s">
        <v>39</v>
      </c>
      <c r="F171" s="7" t="s">
        <v>302</v>
      </c>
      <c r="G171" s="7">
        <v>2017</v>
      </c>
      <c r="H171" s="7" t="str">
        <f>CONCATENATE("14270341051")</f>
        <v>14270341051</v>
      </c>
      <c r="I171" s="7" t="s">
        <v>30</v>
      </c>
      <c r="J171" s="7" t="s">
        <v>31</v>
      </c>
      <c r="K171" s="7" t="str">
        <f>CONCATENATE("")</f>
        <v/>
      </c>
      <c r="L171" s="7" t="str">
        <f>CONCATENATE("6 6.4 2a")</f>
        <v>6 6.4 2a</v>
      </c>
      <c r="M171" s="7" t="str">
        <f>CONCATENATE("PRCLCU88C52I324Z")</f>
        <v>PRCLCU88C52I324Z</v>
      </c>
      <c r="N171" s="7" t="s">
        <v>303</v>
      </c>
      <c r="O171" s="7" t="s">
        <v>306</v>
      </c>
      <c r="P171" s="8">
        <v>44543</v>
      </c>
      <c r="Q171" s="7" t="s">
        <v>32</v>
      </c>
      <c r="R171" s="7" t="s">
        <v>47</v>
      </c>
      <c r="S171" s="7" t="s">
        <v>34</v>
      </c>
      <c r="T171" s="7"/>
      <c r="U171" s="7" t="s">
        <v>35</v>
      </c>
      <c r="V171" s="9">
        <v>72070.149999999994</v>
      </c>
      <c r="W171" s="9">
        <v>31076.65</v>
      </c>
      <c r="X171" s="9">
        <v>28698.33</v>
      </c>
      <c r="Y171" s="7">
        <v>0</v>
      </c>
      <c r="Z171" s="9">
        <v>12295.17</v>
      </c>
    </row>
    <row r="172" spans="1:26" x14ac:dyDescent="0.35">
      <c r="A172" s="7" t="s">
        <v>27</v>
      </c>
      <c r="B172" s="7" t="s">
        <v>28</v>
      </c>
      <c r="C172" s="7" t="s">
        <v>50</v>
      </c>
      <c r="D172" s="7" t="s">
        <v>55</v>
      </c>
      <c r="E172" s="7" t="s">
        <v>42</v>
      </c>
      <c r="F172" s="7" t="s">
        <v>42</v>
      </c>
      <c r="G172" s="7">
        <v>2017</v>
      </c>
      <c r="H172" s="7" t="str">
        <f>CONCATENATE("14270345383")</f>
        <v>14270345383</v>
      </c>
      <c r="I172" s="7" t="s">
        <v>30</v>
      </c>
      <c r="J172" s="7" t="s">
        <v>31</v>
      </c>
      <c r="K172" s="7" t="str">
        <f>CONCATENATE("")</f>
        <v/>
      </c>
      <c r="L172" s="7" t="str">
        <f>CONCATENATE("6 6.4 2a")</f>
        <v>6 6.4 2a</v>
      </c>
      <c r="M172" s="7" t="str">
        <f>CONCATENATE("LNESFN65P30L498P")</f>
        <v>LNESFN65P30L498P</v>
      </c>
      <c r="N172" s="7" t="s">
        <v>307</v>
      </c>
      <c r="O172" s="7" t="s">
        <v>308</v>
      </c>
      <c r="P172" s="8">
        <v>44544</v>
      </c>
      <c r="Q172" s="7" t="s">
        <v>32</v>
      </c>
      <c r="R172" s="7" t="s">
        <v>33</v>
      </c>
      <c r="S172" s="7" t="s">
        <v>34</v>
      </c>
      <c r="T172" s="7"/>
      <c r="U172" s="7" t="s">
        <v>35</v>
      </c>
      <c r="V172" s="9">
        <v>19989.490000000002</v>
      </c>
      <c r="W172" s="9">
        <v>8619.4699999999993</v>
      </c>
      <c r="X172" s="9">
        <v>7959.81</v>
      </c>
      <c r="Y172" s="7">
        <v>0</v>
      </c>
      <c r="Z172" s="9">
        <v>3410.21</v>
      </c>
    </row>
    <row r="173" spans="1:26" ht="17.5" x14ac:dyDescent="0.35">
      <c r="A173" s="7" t="s">
        <v>27</v>
      </c>
      <c r="B173" s="7" t="s">
        <v>28</v>
      </c>
      <c r="C173" s="7" t="s">
        <v>50</v>
      </c>
      <c r="D173" s="7" t="s">
        <v>59</v>
      </c>
      <c r="E173" s="7" t="s">
        <v>44</v>
      </c>
      <c r="F173" s="7" t="s">
        <v>82</v>
      </c>
      <c r="G173" s="7">
        <v>2017</v>
      </c>
      <c r="H173" s="7" t="str">
        <f>CONCATENATE("14270346480")</f>
        <v>14270346480</v>
      </c>
      <c r="I173" s="7" t="s">
        <v>30</v>
      </c>
      <c r="J173" s="7" t="s">
        <v>31</v>
      </c>
      <c r="K173" s="7" t="str">
        <f>CONCATENATE("")</f>
        <v/>
      </c>
      <c r="L173" s="7" t="str">
        <f>CONCATENATE("6 6.1 2b")</f>
        <v>6 6.1 2b</v>
      </c>
      <c r="M173" s="7" t="str">
        <f>CONCATENATE("02255700441")</f>
        <v>02255700441</v>
      </c>
      <c r="N173" s="7" t="s">
        <v>103</v>
      </c>
      <c r="O173" s="7" t="s">
        <v>309</v>
      </c>
      <c r="P173" s="8">
        <v>44545</v>
      </c>
      <c r="Q173" s="7" t="s">
        <v>32</v>
      </c>
      <c r="R173" s="7" t="s">
        <v>33</v>
      </c>
      <c r="S173" s="7" t="s">
        <v>34</v>
      </c>
      <c r="T173" s="7"/>
      <c r="U173" s="7" t="s">
        <v>35</v>
      </c>
      <c r="V173" s="9">
        <v>10185</v>
      </c>
      <c r="W173" s="9">
        <v>4391.7700000000004</v>
      </c>
      <c r="X173" s="9">
        <v>4055.67</v>
      </c>
      <c r="Y173" s="7">
        <v>0</v>
      </c>
      <c r="Z173" s="9">
        <v>1737.56</v>
      </c>
    </row>
    <row r="174" spans="1:26" x14ac:dyDescent="0.35">
      <c r="A174" s="7" t="s">
        <v>27</v>
      </c>
      <c r="B174" s="7" t="s">
        <v>28</v>
      </c>
      <c r="C174" s="7" t="s">
        <v>50</v>
      </c>
      <c r="D174" s="7" t="s">
        <v>55</v>
      </c>
      <c r="E174" s="7" t="s">
        <v>29</v>
      </c>
      <c r="F174" s="7" t="s">
        <v>56</v>
      </c>
      <c r="G174" s="7">
        <v>2017</v>
      </c>
      <c r="H174" s="7" t="str">
        <f>CONCATENATE("14270346852")</f>
        <v>14270346852</v>
      </c>
      <c r="I174" s="7" t="s">
        <v>30</v>
      </c>
      <c r="J174" s="7" t="s">
        <v>31</v>
      </c>
      <c r="K174" s="7" t="str">
        <f>CONCATENATE("")</f>
        <v/>
      </c>
      <c r="L174" s="7" t="str">
        <f>CONCATENATE("6 6.1 2b")</f>
        <v>6 6.1 2b</v>
      </c>
      <c r="M174" s="7" t="str">
        <f>CONCATENATE("RMTJTH95E31D488L")</f>
        <v>RMTJTH95E31D488L</v>
      </c>
      <c r="N174" s="7" t="s">
        <v>162</v>
      </c>
      <c r="O174" s="7" t="s">
        <v>310</v>
      </c>
      <c r="P174" s="8">
        <v>44545</v>
      </c>
      <c r="Q174" s="7" t="s">
        <v>32</v>
      </c>
      <c r="R174" s="7" t="s">
        <v>33</v>
      </c>
      <c r="S174" s="7" t="s">
        <v>34</v>
      </c>
      <c r="T174" s="7"/>
      <c r="U174" s="7" t="s">
        <v>35</v>
      </c>
      <c r="V174" s="9">
        <v>15000</v>
      </c>
      <c r="W174" s="9">
        <v>6468</v>
      </c>
      <c r="X174" s="9">
        <v>5973</v>
      </c>
      <c r="Y174" s="7">
        <v>0</v>
      </c>
      <c r="Z174" s="9">
        <v>2559</v>
      </c>
    </row>
    <row r="175" spans="1:26" x14ac:dyDescent="0.35">
      <c r="A175" s="7" t="s">
        <v>27</v>
      </c>
      <c r="B175" s="7" t="s">
        <v>28</v>
      </c>
      <c r="C175" s="7" t="s">
        <v>50</v>
      </c>
      <c r="D175" s="7" t="s">
        <v>50</v>
      </c>
      <c r="E175" s="7" t="s">
        <v>42</v>
      </c>
      <c r="F175" s="7" t="s">
        <v>42</v>
      </c>
      <c r="G175" s="7">
        <v>2017</v>
      </c>
      <c r="H175" s="7" t="str">
        <f>CONCATENATE("14270341101")</f>
        <v>14270341101</v>
      </c>
      <c r="I175" s="7" t="s">
        <v>30</v>
      </c>
      <c r="J175" s="7" t="s">
        <v>31</v>
      </c>
      <c r="K175" s="7" t="str">
        <f>CONCATENATE("")</f>
        <v/>
      </c>
      <c r="L175" s="7" t="str">
        <f>CONCATENATE("19 19.2 6b")</f>
        <v>19 19.2 6b</v>
      </c>
      <c r="M175" s="7" t="str">
        <f>CONCATENATE("00363500448")</f>
        <v>00363500448</v>
      </c>
      <c r="N175" s="7" t="s">
        <v>109</v>
      </c>
      <c r="O175" s="7" t="s">
        <v>311</v>
      </c>
      <c r="P175" s="8">
        <v>44540</v>
      </c>
      <c r="Q175" s="7" t="s">
        <v>32</v>
      </c>
      <c r="R175" s="7" t="s">
        <v>46</v>
      </c>
      <c r="S175" s="7" t="s">
        <v>34</v>
      </c>
      <c r="T175" s="7"/>
      <c r="U175" s="7" t="s">
        <v>35</v>
      </c>
      <c r="V175" s="9">
        <v>19792.490000000002</v>
      </c>
      <c r="W175" s="9">
        <v>8534.52</v>
      </c>
      <c r="X175" s="9">
        <v>7881.37</v>
      </c>
      <c r="Y175" s="7">
        <v>0</v>
      </c>
      <c r="Z175" s="9">
        <v>3376.6</v>
      </c>
    </row>
    <row r="176" spans="1:26" x14ac:dyDescent="0.35">
      <c r="A176" s="7" t="s">
        <v>27</v>
      </c>
      <c r="B176" s="7" t="s">
        <v>28</v>
      </c>
      <c r="C176" s="7" t="s">
        <v>50</v>
      </c>
      <c r="D176" s="7" t="s">
        <v>50</v>
      </c>
      <c r="E176" s="7" t="s">
        <v>42</v>
      </c>
      <c r="F176" s="7" t="s">
        <v>42</v>
      </c>
      <c r="G176" s="7">
        <v>2017</v>
      </c>
      <c r="H176" s="7" t="str">
        <f>CONCATENATE("14270341119")</f>
        <v>14270341119</v>
      </c>
      <c r="I176" s="7" t="s">
        <v>30</v>
      </c>
      <c r="J176" s="7" t="s">
        <v>31</v>
      </c>
      <c r="K176" s="7" t="str">
        <f>CONCATENATE("")</f>
        <v/>
      </c>
      <c r="L176" s="7" t="str">
        <f>CONCATENATE("19 19.2 6b")</f>
        <v>19 19.2 6b</v>
      </c>
      <c r="M176" s="7" t="str">
        <f>CONCATENATE("80001250440")</f>
        <v>80001250440</v>
      </c>
      <c r="N176" s="7" t="s">
        <v>107</v>
      </c>
      <c r="O176" s="7" t="s">
        <v>311</v>
      </c>
      <c r="P176" s="8">
        <v>44540</v>
      </c>
      <c r="Q176" s="7" t="s">
        <v>32</v>
      </c>
      <c r="R176" s="7" t="s">
        <v>46</v>
      </c>
      <c r="S176" s="7" t="s">
        <v>34</v>
      </c>
      <c r="T176" s="7"/>
      <c r="U176" s="7" t="s">
        <v>35</v>
      </c>
      <c r="V176" s="9">
        <v>22172.720000000001</v>
      </c>
      <c r="W176" s="9">
        <v>9560.8799999999992</v>
      </c>
      <c r="X176" s="9">
        <v>8829.18</v>
      </c>
      <c r="Y176" s="7">
        <v>0</v>
      </c>
      <c r="Z176" s="9">
        <v>3782.66</v>
      </c>
    </row>
    <row r="177" spans="1:26" x14ac:dyDescent="0.35">
      <c r="A177" s="7" t="s">
        <v>27</v>
      </c>
      <c r="B177" s="7" t="s">
        <v>28</v>
      </c>
      <c r="C177" s="7" t="s">
        <v>50</v>
      </c>
      <c r="D177" s="7" t="s">
        <v>50</v>
      </c>
      <c r="E177" s="7" t="s">
        <v>42</v>
      </c>
      <c r="F177" s="7" t="s">
        <v>42</v>
      </c>
      <c r="G177" s="7">
        <v>2017</v>
      </c>
      <c r="H177" s="7" t="str">
        <f>CONCATENATE("14270341127")</f>
        <v>14270341127</v>
      </c>
      <c r="I177" s="7" t="s">
        <v>30</v>
      </c>
      <c r="J177" s="7" t="s">
        <v>31</v>
      </c>
      <c r="K177" s="7" t="str">
        <f>CONCATENATE("")</f>
        <v/>
      </c>
      <c r="L177" s="7" t="str">
        <f>CONCATENATE("19 19.2 6b")</f>
        <v>19 19.2 6b</v>
      </c>
      <c r="M177" s="7" t="str">
        <f>CONCATENATE("00363500448")</f>
        <v>00363500448</v>
      </c>
      <c r="N177" s="7" t="s">
        <v>109</v>
      </c>
      <c r="O177" s="7" t="s">
        <v>312</v>
      </c>
      <c r="P177" s="8">
        <v>44540</v>
      </c>
      <c r="Q177" s="7" t="s">
        <v>32</v>
      </c>
      <c r="R177" s="7" t="s">
        <v>46</v>
      </c>
      <c r="S177" s="7" t="s">
        <v>34</v>
      </c>
      <c r="T177" s="7"/>
      <c r="U177" s="7" t="s">
        <v>35</v>
      </c>
      <c r="V177" s="9">
        <v>12680.26</v>
      </c>
      <c r="W177" s="9">
        <v>5467.73</v>
      </c>
      <c r="X177" s="9">
        <v>5049.28</v>
      </c>
      <c r="Y177" s="7">
        <v>0</v>
      </c>
      <c r="Z177" s="9">
        <v>2163.25</v>
      </c>
    </row>
    <row r="178" spans="1:26" x14ac:dyDescent="0.35">
      <c r="A178" s="7" t="s">
        <v>27</v>
      </c>
      <c r="B178" s="7" t="s">
        <v>28</v>
      </c>
      <c r="C178" s="7" t="s">
        <v>50</v>
      </c>
      <c r="D178" s="7" t="s">
        <v>59</v>
      </c>
      <c r="E178" s="7" t="s">
        <v>37</v>
      </c>
      <c r="F178" s="7" t="s">
        <v>273</v>
      </c>
      <c r="G178" s="7">
        <v>2017</v>
      </c>
      <c r="H178" s="7" t="str">
        <f>CONCATENATE("14270348205")</f>
        <v>14270348205</v>
      </c>
      <c r="I178" s="7" t="s">
        <v>30</v>
      </c>
      <c r="J178" s="7" t="s">
        <v>31</v>
      </c>
      <c r="K178" s="7" t="str">
        <f>CONCATENATE("")</f>
        <v/>
      </c>
      <c r="L178" s="7" t="str">
        <f>CONCATENATE("4 4.1 2a")</f>
        <v>4 4.1 2a</v>
      </c>
      <c r="M178" s="7" t="str">
        <f>CONCATENATE("GSPSDR73D46A462O")</f>
        <v>GSPSDR73D46A462O</v>
      </c>
      <c r="N178" s="7" t="s">
        <v>274</v>
      </c>
      <c r="O178" s="7" t="s">
        <v>313</v>
      </c>
      <c r="P178" s="8">
        <v>44545</v>
      </c>
      <c r="Q178" s="7" t="s">
        <v>32</v>
      </c>
      <c r="R178" s="7" t="s">
        <v>33</v>
      </c>
      <c r="S178" s="7" t="s">
        <v>34</v>
      </c>
      <c r="T178" s="7"/>
      <c r="U178" s="7" t="s">
        <v>35</v>
      </c>
      <c r="V178" s="9">
        <v>60615.46</v>
      </c>
      <c r="W178" s="9">
        <v>26137.39</v>
      </c>
      <c r="X178" s="9">
        <v>24137.08</v>
      </c>
      <c r="Y178" s="7">
        <v>0</v>
      </c>
      <c r="Z178" s="9">
        <v>10340.99</v>
      </c>
    </row>
    <row r="179" spans="1:26" x14ac:dyDescent="0.35">
      <c r="A179" s="7" t="s">
        <v>27</v>
      </c>
      <c r="B179" s="7" t="s">
        <v>28</v>
      </c>
      <c r="C179" s="7" t="s">
        <v>50</v>
      </c>
      <c r="D179" s="7" t="s">
        <v>95</v>
      </c>
      <c r="E179" s="7" t="s">
        <v>29</v>
      </c>
      <c r="F179" s="7" t="s">
        <v>147</v>
      </c>
      <c r="G179" s="7">
        <v>2017</v>
      </c>
      <c r="H179" s="7" t="str">
        <f>CONCATENATE("14270348148")</f>
        <v>14270348148</v>
      </c>
      <c r="I179" s="7" t="s">
        <v>30</v>
      </c>
      <c r="J179" s="7" t="s">
        <v>31</v>
      </c>
      <c r="K179" s="7" t="str">
        <f>CONCATENATE("")</f>
        <v/>
      </c>
      <c r="L179" s="7" t="str">
        <f>CONCATENATE("4 4.4 4c")</f>
        <v>4 4.4 4c</v>
      </c>
      <c r="M179" s="7" t="str">
        <f>CONCATENATE("RCCNLS55P67D564V")</f>
        <v>RCCNLS55P67D564V</v>
      </c>
      <c r="N179" s="7" t="s">
        <v>314</v>
      </c>
      <c r="O179" s="7" t="s">
        <v>315</v>
      </c>
      <c r="P179" s="8">
        <v>44545</v>
      </c>
      <c r="Q179" s="7" t="s">
        <v>32</v>
      </c>
      <c r="R179" s="7" t="s">
        <v>33</v>
      </c>
      <c r="S179" s="7" t="s">
        <v>34</v>
      </c>
      <c r="T179" s="7"/>
      <c r="U179" s="7" t="s">
        <v>35</v>
      </c>
      <c r="V179" s="9">
        <v>2075.12</v>
      </c>
      <c r="W179" s="7">
        <v>894.79</v>
      </c>
      <c r="X179" s="7">
        <v>826.31</v>
      </c>
      <c r="Y179" s="7">
        <v>0</v>
      </c>
      <c r="Z179" s="7">
        <v>354.02</v>
      </c>
    </row>
    <row r="180" spans="1:26" x14ac:dyDescent="0.35">
      <c r="A180" s="7" t="s">
        <v>27</v>
      </c>
      <c r="B180" s="7" t="s">
        <v>28</v>
      </c>
      <c r="C180" s="7" t="s">
        <v>50</v>
      </c>
      <c r="D180" s="7" t="s">
        <v>55</v>
      </c>
      <c r="E180" s="7" t="s">
        <v>42</v>
      </c>
      <c r="F180" s="7" t="s">
        <v>42</v>
      </c>
      <c r="G180" s="7">
        <v>2017</v>
      </c>
      <c r="H180" s="7" t="str">
        <f>CONCATENATE("14270346522")</f>
        <v>14270346522</v>
      </c>
      <c r="I180" s="7" t="s">
        <v>30</v>
      </c>
      <c r="J180" s="7" t="s">
        <v>31</v>
      </c>
      <c r="K180" s="7" t="str">
        <f>CONCATENATE("")</f>
        <v/>
      </c>
      <c r="L180" s="7" t="str">
        <f>CONCATENATE("8 8.5 4a")</f>
        <v>8 8.5 4a</v>
      </c>
      <c r="M180" s="7" t="str">
        <f>CONCATENATE("02561910411")</f>
        <v>02561910411</v>
      </c>
      <c r="N180" s="7" t="s">
        <v>316</v>
      </c>
      <c r="O180" s="7" t="s">
        <v>317</v>
      </c>
      <c r="P180" s="8">
        <v>44545</v>
      </c>
      <c r="Q180" s="7" t="s">
        <v>32</v>
      </c>
      <c r="R180" s="7" t="s">
        <v>33</v>
      </c>
      <c r="S180" s="7" t="s">
        <v>34</v>
      </c>
      <c r="T180" s="7"/>
      <c r="U180" s="7" t="s">
        <v>35</v>
      </c>
      <c r="V180" s="9">
        <v>197047.11</v>
      </c>
      <c r="W180" s="9">
        <v>84966.71</v>
      </c>
      <c r="X180" s="9">
        <v>78464.160000000003</v>
      </c>
      <c r="Y180" s="7">
        <v>0</v>
      </c>
      <c r="Z180" s="9">
        <v>33616.239999999998</v>
      </c>
    </row>
    <row r="181" spans="1:26" x14ac:dyDescent="0.35">
      <c r="A181" s="7" t="s">
        <v>27</v>
      </c>
      <c r="B181" s="7" t="s">
        <v>28</v>
      </c>
      <c r="C181" s="7" t="s">
        <v>50</v>
      </c>
      <c r="D181" s="7" t="s">
        <v>55</v>
      </c>
      <c r="E181" s="7" t="s">
        <v>42</v>
      </c>
      <c r="F181" s="7" t="s">
        <v>42</v>
      </c>
      <c r="G181" s="7">
        <v>2017</v>
      </c>
      <c r="H181" s="7" t="str">
        <f>CONCATENATE("14270346514")</f>
        <v>14270346514</v>
      </c>
      <c r="I181" s="7" t="s">
        <v>30</v>
      </c>
      <c r="J181" s="7" t="s">
        <v>31</v>
      </c>
      <c r="K181" s="7" t="str">
        <f>CONCATENATE("")</f>
        <v/>
      </c>
      <c r="L181" s="7" t="str">
        <f>CONCATENATE("8 8.5 4a")</f>
        <v>8 8.5 4a</v>
      </c>
      <c r="M181" s="7" t="str">
        <f>CONCATENATE("02561910411")</f>
        <v>02561910411</v>
      </c>
      <c r="N181" s="7" t="s">
        <v>316</v>
      </c>
      <c r="O181" s="7" t="s">
        <v>317</v>
      </c>
      <c r="P181" s="8">
        <v>44545</v>
      </c>
      <c r="Q181" s="7" t="s">
        <v>32</v>
      </c>
      <c r="R181" s="7" t="s">
        <v>33</v>
      </c>
      <c r="S181" s="7" t="s">
        <v>34</v>
      </c>
      <c r="T181" s="7"/>
      <c r="U181" s="7" t="s">
        <v>35</v>
      </c>
      <c r="V181" s="9">
        <v>228406.52</v>
      </c>
      <c r="W181" s="9">
        <v>98488.89</v>
      </c>
      <c r="X181" s="9">
        <v>90951.48</v>
      </c>
      <c r="Y181" s="7">
        <v>0</v>
      </c>
      <c r="Z181" s="9">
        <v>38966.15</v>
      </c>
    </row>
    <row r="182" spans="1:26" x14ac:dyDescent="0.35">
      <c r="A182" s="7" t="s">
        <v>27</v>
      </c>
      <c r="B182" s="7" t="s">
        <v>28</v>
      </c>
      <c r="C182" s="7" t="s">
        <v>50</v>
      </c>
      <c r="D182" s="7" t="s">
        <v>55</v>
      </c>
      <c r="E182" s="7" t="s">
        <v>42</v>
      </c>
      <c r="F182" s="7" t="s">
        <v>42</v>
      </c>
      <c r="G182" s="7">
        <v>2017</v>
      </c>
      <c r="H182" s="7" t="str">
        <f>CONCATENATE("94270174835")</f>
        <v>94270174835</v>
      </c>
      <c r="I182" s="7" t="s">
        <v>30</v>
      </c>
      <c r="J182" s="7" t="s">
        <v>31</v>
      </c>
      <c r="K182" s="7" t="str">
        <f>CONCATENATE("")</f>
        <v/>
      </c>
      <c r="L182" s="7" t="str">
        <f>CONCATENATE("16 16.8 5e")</f>
        <v>16 16.8 5e</v>
      </c>
      <c r="M182" s="7" t="str">
        <f>CONCATENATE("02561910411")</f>
        <v>02561910411</v>
      </c>
      <c r="N182" s="7" t="s">
        <v>316</v>
      </c>
      <c r="O182" s="7" t="s">
        <v>318</v>
      </c>
      <c r="P182" s="8">
        <v>44545</v>
      </c>
      <c r="Q182" s="7" t="s">
        <v>32</v>
      </c>
      <c r="R182" s="7" t="s">
        <v>33</v>
      </c>
      <c r="S182" s="7" t="s">
        <v>34</v>
      </c>
      <c r="T182" s="7"/>
      <c r="U182" s="7" t="s">
        <v>35</v>
      </c>
      <c r="V182" s="9">
        <v>268238.98</v>
      </c>
      <c r="W182" s="9">
        <v>115664.65</v>
      </c>
      <c r="X182" s="9">
        <v>106812.76</v>
      </c>
      <c r="Y182" s="7">
        <v>0</v>
      </c>
      <c r="Z182" s="9">
        <v>45761.57</v>
      </c>
    </row>
    <row r="183" spans="1:26" ht="17.5" x14ac:dyDescent="0.35">
      <c r="A183" s="7" t="s">
        <v>27</v>
      </c>
      <c r="B183" s="7" t="s">
        <v>28</v>
      </c>
      <c r="C183" s="7" t="s">
        <v>50</v>
      </c>
      <c r="D183" s="7" t="s">
        <v>95</v>
      </c>
      <c r="E183" s="7" t="s">
        <v>38</v>
      </c>
      <c r="F183" s="7" t="s">
        <v>269</v>
      </c>
      <c r="G183" s="7">
        <v>2017</v>
      </c>
      <c r="H183" s="7" t="str">
        <f>CONCATENATE("14270342893")</f>
        <v>14270342893</v>
      </c>
      <c r="I183" s="7" t="s">
        <v>30</v>
      </c>
      <c r="J183" s="7" t="s">
        <v>31</v>
      </c>
      <c r="K183" s="7" t="str">
        <f>CONCATENATE("")</f>
        <v/>
      </c>
      <c r="L183" s="7" t="str">
        <f>CONCATENATE("1 1.2 2a")</f>
        <v>1 1.2 2a</v>
      </c>
      <c r="M183" s="7" t="str">
        <f>CONCATENATE("01393680440")</f>
        <v>01393680440</v>
      </c>
      <c r="N183" s="7" t="s">
        <v>319</v>
      </c>
      <c r="O183" s="7" t="s">
        <v>320</v>
      </c>
      <c r="P183" s="8">
        <v>44543</v>
      </c>
      <c r="Q183" s="7" t="s">
        <v>32</v>
      </c>
      <c r="R183" s="7" t="s">
        <v>33</v>
      </c>
      <c r="S183" s="7" t="s">
        <v>34</v>
      </c>
      <c r="T183" s="7"/>
      <c r="U183" s="7" t="s">
        <v>35</v>
      </c>
      <c r="V183" s="9">
        <v>13033.93</v>
      </c>
      <c r="W183" s="9">
        <v>5620.23</v>
      </c>
      <c r="X183" s="9">
        <v>5190.1099999999997</v>
      </c>
      <c r="Y183" s="7">
        <v>0</v>
      </c>
      <c r="Z183" s="9">
        <v>2223.59</v>
      </c>
    </row>
    <row r="184" spans="1:26" x14ac:dyDescent="0.35">
      <c r="A184" s="7" t="s">
        <v>27</v>
      </c>
      <c r="B184" s="7" t="s">
        <v>28</v>
      </c>
      <c r="C184" s="7" t="s">
        <v>50</v>
      </c>
      <c r="D184" s="7" t="s">
        <v>55</v>
      </c>
      <c r="E184" s="7" t="s">
        <v>42</v>
      </c>
      <c r="F184" s="7" t="s">
        <v>42</v>
      </c>
      <c r="G184" s="7">
        <v>2017</v>
      </c>
      <c r="H184" s="7" t="str">
        <f>CONCATENATE("94270174843")</f>
        <v>94270174843</v>
      </c>
      <c r="I184" s="7" t="s">
        <v>30</v>
      </c>
      <c r="J184" s="7" t="s">
        <v>31</v>
      </c>
      <c r="K184" s="7" t="str">
        <f>CONCATENATE("")</f>
        <v/>
      </c>
      <c r="L184" s="7" t="str">
        <f>CONCATENATE("16 16.8 5e")</f>
        <v>16 16.8 5e</v>
      </c>
      <c r="M184" s="7" t="str">
        <f>CONCATENATE("02565260417")</f>
        <v>02565260417</v>
      </c>
      <c r="N184" s="7" t="s">
        <v>321</v>
      </c>
      <c r="O184" s="7" t="s">
        <v>318</v>
      </c>
      <c r="P184" s="8">
        <v>44545</v>
      </c>
      <c r="Q184" s="7" t="s">
        <v>32</v>
      </c>
      <c r="R184" s="7" t="s">
        <v>33</v>
      </c>
      <c r="S184" s="7" t="s">
        <v>34</v>
      </c>
      <c r="T184" s="7"/>
      <c r="U184" s="7" t="s">
        <v>35</v>
      </c>
      <c r="V184" s="9">
        <v>102477.19</v>
      </c>
      <c r="W184" s="9">
        <v>44188.160000000003</v>
      </c>
      <c r="X184" s="9">
        <v>40806.42</v>
      </c>
      <c r="Y184" s="7">
        <v>0</v>
      </c>
      <c r="Z184" s="9">
        <v>17482.61</v>
      </c>
    </row>
    <row r="185" spans="1:26" ht="17.5" x14ac:dyDescent="0.35">
      <c r="A185" s="7" t="s">
        <v>27</v>
      </c>
      <c r="B185" s="7" t="s">
        <v>28</v>
      </c>
      <c r="C185" s="7" t="s">
        <v>50</v>
      </c>
      <c r="D185" s="7" t="s">
        <v>95</v>
      </c>
      <c r="E185" s="7" t="s">
        <v>29</v>
      </c>
      <c r="F185" s="7" t="s">
        <v>171</v>
      </c>
      <c r="G185" s="7">
        <v>2017</v>
      </c>
      <c r="H185" s="7" t="str">
        <f>CONCATENATE("14270348189")</f>
        <v>14270348189</v>
      </c>
      <c r="I185" s="7" t="s">
        <v>30</v>
      </c>
      <c r="J185" s="7" t="s">
        <v>31</v>
      </c>
      <c r="K185" s="7" t="str">
        <f>CONCATENATE("")</f>
        <v/>
      </c>
      <c r="L185" s="7" t="str">
        <f>CONCATENATE("4 4.1 2a")</f>
        <v>4 4.1 2a</v>
      </c>
      <c r="M185" s="7" t="str">
        <f>CONCATENATE("01311600439")</f>
        <v>01311600439</v>
      </c>
      <c r="N185" s="7" t="s">
        <v>322</v>
      </c>
      <c r="O185" s="7" t="s">
        <v>313</v>
      </c>
      <c r="P185" s="8">
        <v>44545</v>
      </c>
      <c r="Q185" s="7" t="s">
        <v>32</v>
      </c>
      <c r="R185" s="7" t="s">
        <v>47</v>
      </c>
      <c r="S185" s="7" t="s">
        <v>34</v>
      </c>
      <c r="T185" s="7"/>
      <c r="U185" s="7" t="s">
        <v>35</v>
      </c>
      <c r="V185" s="9">
        <v>124481.2</v>
      </c>
      <c r="W185" s="9">
        <v>53676.29</v>
      </c>
      <c r="X185" s="9">
        <v>49568.41</v>
      </c>
      <c r="Y185" s="7">
        <v>0</v>
      </c>
      <c r="Z185" s="9">
        <v>21236.5</v>
      </c>
    </row>
    <row r="186" spans="1:26" x14ac:dyDescent="0.35">
      <c r="A186" s="7" t="s">
        <v>27</v>
      </c>
      <c r="B186" s="7" t="s">
        <v>28</v>
      </c>
      <c r="C186" s="7" t="s">
        <v>50</v>
      </c>
      <c r="D186" s="7" t="s">
        <v>95</v>
      </c>
      <c r="E186" s="7" t="s">
        <v>42</v>
      </c>
      <c r="F186" s="7" t="s">
        <v>42</v>
      </c>
      <c r="G186" s="7">
        <v>2017</v>
      </c>
      <c r="H186" s="7" t="str">
        <f>CONCATENATE("14270340863")</f>
        <v>14270340863</v>
      </c>
      <c r="I186" s="7" t="s">
        <v>30</v>
      </c>
      <c r="J186" s="7" t="s">
        <v>31</v>
      </c>
      <c r="K186" s="7" t="str">
        <f>CONCATENATE("")</f>
        <v/>
      </c>
      <c r="L186" s="7" t="str">
        <f>CONCATENATE("6 6.1 2b")</f>
        <v>6 6.1 2b</v>
      </c>
      <c r="M186" s="7" t="str">
        <f>CONCATENATE("SNTRSE84M11E388W")</f>
        <v>SNTRSE84M11E388W</v>
      </c>
      <c r="N186" s="7" t="s">
        <v>323</v>
      </c>
      <c r="O186" s="7" t="s">
        <v>324</v>
      </c>
      <c r="P186" s="8">
        <v>44540</v>
      </c>
      <c r="Q186" s="7" t="s">
        <v>32</v>
      </c>
      <c r="R186" s="7" t="s">
        <v>33</v>
      </c>
      <c r="S186" s="7" t="s">
        <v>34</v>
      </c>
      <c r="T186" s="7"/>
      <c r="U186" s="7" t="s">
        <v>35</v>
      </c>
      <c r="V186" s="9">
        <v>21000</v>
      </c>
      <c r="W186" s="9">
        <v>9055.2000000000007</v>
      </c>
      <c r="X186" s="9">
        <v>8362.2000000000007</v>
      </c>
      <c r="Y186" s="7">
        <v>0</v>
      </c>
      <c r="Z186" s="9">
        <v>3582.6</v>
      </c>
    </row>
    <row r="187" spans="1:26" x14ac:dyDescent="0.35">
      <c r="A187" s="7" t="s">
        <v>27</v>
      </c>
      <c r="B187" s="7" t="s">
        <v>28</v>
      </c>
      <c r="C187" s="7" t="s">
        <v>50</v>
      </c>
      <c r="D187" s="7" t="s">
        <v>95</v>
      </c>
      <c r="E187" s="7" t="s">
        <v>42</v>
      </c>
      <c r="F187" s="7" t="s">
        <v>42</v>
      </c>
      <c r="G187" s="7">
        <v>2017</v>
      </c>
      <c r="H187" s="7" t="str">
        <f>CONCATENATE("14270340871")</f>
        <v>14270340871</v>
      </c>
      <c r="I187" s="7" t="s">
        <v>30</v>
      </c>
      <c r="J187" s="7" t="s">
        <v>31</v>
      </c>
      <c r="K187" s="7" t="str">
        <f>CONCATENATE("")</f>
        <v/>
      </c>
      <c r="L187" s="7" t="str">
        <f>CONCATENATE("4 4.1 2a")</f>
        <v>4 4.1 2a</v>
      </c>
      <c r="M187" s="7" t="str">
        <f>CONCATENATE("SNTRSE84M11E388W")</f>
        <v>SNTRSE84M11E388W</v>
      </c>
      <c r="N187" s="7" t="s">
        <v>323</v>
      </c>
      <c r="O187" s="7" t="s">
        <v>325</v>
      </c>
      <c r="P187" s="8">
        <v>44540</v>
      </c>
      <c r="Q187" s="7" t="s">
        <v>32</v>
      </c>
      <c r="R187" s="7" t="s">
        <v>33</v>
      </c>
      <c r="S187" s="7" t="s">
        <v>34</v>
      </c>
      <c r="T187" s="7"/>
      <c r="U187" s="7" t="s">
        <v>35</v>
      </c>
      <c r="V187" s="9">
        <v>46263.74</v>
      </c>
      <c r="W187" s="9">
        <v>19948.919999999998</v>
      </c>
      <c r="X187" s="9">
        <v>18422.22</v>
      </c>
      <c r="Y187" s="7">
        <v>0</v>
      </c>
      <c r="Z187" s="9">
        <v>7892.6</v>
      </c>
    </row>
    <row r="188" spans="1:26" x14ac:dyDescent="0.35">
      <c r="A188" s="7" t="s">
        <v>27</v>
      </c>
      <c r="B188" s="7" t="s">
        <v>28</v>
      </c>
      <c r="C188" s="7" t="s">
        <v>50</v>
      </c>
      <c r="D188" s="7" t="s">
        <v>95</v>
      </c>
      <c r="E188" s="7" t="s">
        <v>42</v>
      </c>
      <c r="F188" s="7" t="s">
        <v>42</v>
      </c>
      <c r="G188" s="7">
        <v>2017</v>
      </c>
      <c r="H188" s="7" t="str">
        <f>CONCATENATE("14270340970")</f>
        <v>14270340970</v>
      </c>
      <c r="I188" s="7" t="s">
        <v>30</v>
      </c>
      <c r="J188" s="7" t="s">
        <v>31</v>
      </c>
      <c r="K188" s="7" t="str">
        <f>CONCATENATE("")</f>
        <v/>
      </c>
      <c r="L188" s="7" t="str">
        <f>CONCATENATE("4 4.1 2a")</f>
        <v>4 4.1 2a</v>
      </c>
      <c r="M188" s="7" t="str">
        <f>CONCATENATE("01763810437")</f>
        <v>01763810437</v>
      </c>
      <c r="N188" s="7" t="s">
        <v>326</v>
      </c>
      <c r="O188" s="7" t="s">
        <v>327</v>
      </c>
      <c r="P188" s="8">
        <v>44540</v>
      </c>
      <c r="Q188" s="7" t="s">
        <v>32</v>
      </c>
      <c r="R188" s="7" t="s">
        <v>47</v>
      </c>
      <c r="S188" s="7" t="s">
        <v>34</v>
      </c>
      <c r="T188" s="7"/>
      <c r="U188" s="7" t="s">
        <v>35</v>
      </c>
      <c r="V188" s="9">
        <v>461040</v>
      </c>
      <c r="W188" s="9">
        <v>198800.45</v>
      </c>
      <c r="X188" s="9">
        <v>183586.13</v>
      </c>
      <c r="Y188" s="7">
        <v>0</v>
      </c>
      <c r="Z188" s="9">
        <v>78653.42</v>
      </c>
    </row>
    <row r="189" spans="1:26" x14ac:dyDescent="0.35">
      <c r="A189" s="7" t="s">
        <v>27</v>
      </c>
      <c r="B189" s="7" t="s">
        <v>28</v>
      </c>
      <c r="C189" s="7" t="s">
        <v>50</v>
      </c>
      <c r="D189" s="7" t="s">
        <v>59</v>
      </c>
      <c r="E189" s="7" t="s">
        <v>44</v>
      </c>
      <c r="F189" s="7" t="s">
        <v>82</v>
      </c>
      <c r="G189" s="7">
        <v>2017</v>
      </c>
      <c r="H189" s="7" t="str">
        <f>CONCATENATE("14270340962")</f>
        <v>14270340962</v>
      </c>
      <c r="I189" s="7" t="s">
        <v>30</v>
      </c>
      <c r="J189" s="7" t="s">
        <v>31</v>
      </c>
      <c r="K189" s="7" t="str">
        <f>CONCATENATE("")</f>
        <v/>
      </c>
      <c r="L189" s="7" t="str">
        <f>CONCATENATE("4 4.1 2a")</f>
        <v>4 4.1 2a</v>
      </c>
      <c r="M189" s="7" t="str">
        <f>CONCATENATE("CRTVNC88M51H769Y")</f>
        <v>CRTVNC88M51H769Y</v>
      </c>
      <c r="N189" s="7" t="s">
        <v>328</v>
      </c>
      <c r="O189" s="7" t="s">
        <v>327</v>
      </c>
      <c r="P189" s="8">
        <v>44540</v>
      </c>
      <c r="Q189" s="7" t="s">
        <v>32</v>
      </c>
      <c r="R189" s="7" t="s">
        <v>33</v>
      </c>
      <c r="S189" s="7" t="s">
        <v>34</v>
      </c>
      <c r="T189" s="7"/>
      <c r="U189" s="7" t="s">
        <v>35</v>
      </c>
      <c r="V189" s="9">
        <v>26017.97</v>
      </c>
      <c r="W189" s="9">
        <v>11218.95</v>
      </c>
      <c r="X189" s="9">
        <v>10360.36</v>
      </c>
      <c r="Y189" s="7">
        <v>0</v>
      </c>
      <c r="Z189" s="9">
        <v>4438.66</v>
      </c>
    </row>
    <row r="190" spans="1:26" x14ac:dyDescent="0.35">
      <c r="A190" s="7" t="s">
        <v>27</v>
      </c>
      <c r="B190" s="7" t="s">
        <v>28</v>
      </c>
      <c r="C190" s="7" t="s">
        <v>50</v>
      </c>
      <c r="D190" s="7" t="s">
        <v>50</v>
      </c>
      <c r="E190" s="7" t="s">
        <v>42</v>
      </c>
      <c r="F190" s="7" t="s">
        <v>42</v>
      </c>
      <c r="G190" s="7">
        <v>2017</v>
      </c>
      <c r="H190" s="7" t="str">
        <f>CONCATENATE("14270348130")</f>
        <v>14270348130</v>
      </c>
      <c r="I190" s="7" t="s">
        <v>30</v>
      </c>
      <c r="J190" s="7" t="s">
        <v>31</v>
      </c>
      <c r="K190" s="7" t="str">
        <f>CONCATENATE("")</f>
        <v/>
      </c>
      <c r="L190" s="7" t="str">
        <f>CONCATENATE("19 19.2 6b")</f>
        <v>19 19.2 6b</v>
      </c>
      <c r="M190" s="7" t="str">
        <f>CONCATENATE("00345420426")</f>
        <v>00345420426</v>
      </c>
      <c r="N190" s="7" t="s">
        <v>329</v>
      </c>
      <c r="O190" s="7" t="s">
        <v>330</v>
      </c>
      <c r="P190" s="8">
        <v>44546</v>
      </c>
      <c r="Q190" s="7" t="s">
        <v>32</v>
      </c>
      <c r="R190" s="7" t="s">
        <v>46</v>
      </c>
      <c r="S190" s="7" t="s">
        <v>34</v>
      </c>
      <c r="T190" s="7"/>
      <c r="U190" s="7" t="s">
        <v>35</v>
      </c>
      <c r="V190" s="9">
        <v>93636</v>
      </c>
      <c r="W190" s="9">
        <v>40375.839999999997</v>
      </c>
      <c r="X190" s="9">
        <v>37285.86</v>
      </c>
      <c r="Y190" s="7">
        <v>0</v>
      </c>
      <c r="Z190" s="9">
        <v>15974.3</v>
      </c>
    </row>
    <row r="191" spans="1:26" x14ac:dyDescent="0.35">
      <c r="A191" s="7" t="s">
        <v>27</v>
      </c>
      <c r="B191" s="7" t="s">
        <v>28</v>
      </c>
      <c r="C191" s="7" t="s">
        <v>50</v>
      </c>
      <c r="D191" s="7" t="s">
        <v>50</v>
      </c>
      <c r="E191" s="7" t="s">
        <v>42</v>
      </c>
      <c r="F191" s="7" t="s">
        <v>42</v>
      </c>
      <c r="G191" s="7">
        <v>2017</v>
      </c>
      <c r="H191" s="7" t="str">
        <f>CONCATENATE("14270348122")</f>
        <v>14270348122</v>
      </c>
      <c r="I191" s="7" t="s">
        <v>30</v>
      </c>
      <c r="J191" s="7" t="s">
        <v>31</v>
      </c>
      <c r="K191" s="7" t="str">
        <f>CONCATENATE("")</f>
        <v/>
      </c>
      <c r="L191" s="7" t="str">
        <f>CONCATENATE("19 19.2 6b")</f>
        <v>19 19.2 6b</v>
      </c>
      <c r="M191" s="7" t="str">
        <f>CONCATENATE("00033120437")</f>
        <v>00033120437</v>
      </c>
      <c r="N191" s="7" t="s">
        <v>331</v>
      </c>
      <c r="O191" s="7" t="s">
        <v>332</v>
      </c>
      <c r="P191" s="8">
        <v>44546</v>
      </c>
      <c r="Q191" s="7" t="s">
        <v>32</v>
      </c>
      <c r="R191" s="7" t="s">
        <v>46</v>
      </c>
      <c r="S191" s="7" t="s">
        <v>34</v>
      </c>
      <c r="T191" s="7"/>
      <c r="U191" s="7" t="s">
        <v>35</v>
      </c>
      <c r="V191" s="9">
        <v>103561.95</v>
      </c>
      <c r="W191" s="9">
        <v>44655.91</v>
      </c>
      <c r="X191" s="9">
        <v>41238.370000000003</v>
      </c>
      <c r="Y191" s="7">
        <v>0</v>
      </c>
      <c r="Z191" s="9">
        <v>17667.669999999998</v>
      </c>
    </row>
    <row r="192" spans="1:26" x14ac:dyDescent="0.35">
      <c r="A192" s="7" t="s">
        <v>27</v>
      </c>
      <c r="B192" s="7" t="s">
        <v>28</v>
      </c>
      <c r="C192" s="7" t="s">
        <v>50</v>
      </c>
      <c r="D192" s="7" t="s">
        <v>55</v>
      </c>
      <c r="E192" s="7" t="s">
        <v>42</v>
      </c>
      <c r="F192" s="7" t="s">
        <v>42</v>
      </c>
      <c r="G192" s="7">
        <v>2017</v>
      </c>
      <c r="H192" s="7" t="str">
        <f>CONCATENATE("14270345326")</f>
        <v>14270345326</v>
      </c>
      <c r="I192" s="7" t="s">
        <v>30</v>
      </c>
      <c r="J192" s="7" t="s">
        <v>31</v>
      </c>
      <c r="K192" s="7" t="str">
        <f>CONCATENATE("")</f>
        <v/>
      </c>
      <c r="L192" s="7" t="str">
        <f>CONCATENATE("4 4.3 2a")</f>
        <v>4 4.3 2a</v>
      </c>
      <c r="M192" s="7" t="str">
        <f>CONCATENATE("00224000430")</f>
        <v>00224000430</v>
      </c>
      <c r="N192" s="7" t="s">
        <v>333</v>
      </c>
      <c r="O192" s="7" t="s">
        <v>334</v>
      </c>
      <c r="P192" s="8">
        <v>44543</v>
      </c>
      <c r="Q192" s="7" t="s">
        <v>32</v>
      </c>
      <c r="R192" s="7" t="s">
        <v>46</v>
      </c>
      <c r="S192" s="7" t="s">
        <v>34</v>
      </c>
      <c r="T192" s="7"/>
      <c r="U192" s="7" t="s">
        <v>35</v>
      </c>
      <c r="V192" s="9">
        <v>22135.05</v>
      </c>
      <c r="W192" s="9">
        <v>9544.6299999999992</v>
      </c>
      <c r="X192" s="9">
        <v>8814.18</v>
      </c>
      <c r="Y192" s="7">
        <v>0</v>
      </c>
      <c r="Z192" s="9">
        <v>3776.24</v>
      </c>
    </row>
    <row r="193" spans="1:26" x14ac:dyDescent="0.35">
      <c r="A193" s="7" t="s">
        <v>27</v>
      </c>
      <c r="B193" s="7" t="s">
        <v>28</v>
      </c>
      <c r="C193" s="7" t="s">
        <v>50</v>
      </c>
      <c r="D193" s="7" t="s">
        <v>55</v>
      </c>
      <c r="E193" s="7" t="s">
        <v>42</v>
      </c>
      <c r="F193" s="7" t="s">
        <v>42</v>
      </c>
      <c r="G193" s="7">
        <v>2017</v>
      </c>
      <c r="H193" s="7" t="str">
        <f>CONCATENATE("14270345334")</f>
        <v>14270345334</v>
      </c>
      <c r="I193" s="7" t="s">
        <v>30</v>
      </c>
      <c r="J193" s="7" t="s">
        <v>31</v>
      </c>
      <c r="K193" s="7" t="str">
        <f>CONCATENATE("")</f>
        <v/>
      </c>
      <c r="L193" s="7" t="str">
        <f>CONCATENATE("4 4.3 2a")</f>
        <v>4 4.3 2a</v>
      </c>
      <c r="M193" s="7" t="str">
        <f>CONCATENATE("00224000430")</f>
        <v>00224000430</v>
      </c>
      <c r="N193" s="7" t="s">
        <v>333</v>
      </c>
      <c r="O193" s="7" t="s">
        <v>334</v>
      </c>
      <c r="P193" s="8">
        <v>44543</v>
      </c>
      <c r="Q193" s="7" t="s">
        <v>32</v>
      </c>
      <c r="R193" s="7" t="s">
        <v>46</v>
      </c>
      <c r="S193" s="7" t="s">
        <v>34</v>
      </c>
      <c r="T193" s="7"/>
      <c r="U193" s="7" t="s">
        <v>35</v>
      </c>
      <c r="V193" s="9">
        <v>24978.93</v>
      </c>
      <c r="W193" s="9">
        <v>10770.91</v>
      </c>
      <c r="X193" s="9">
        <v>9946.61</v>
      </c>
      <c r="Y193" s="7">
        <v>0</v>
      </c>
      <c r="Z193" s="9">
        <v>4261.41</v>
      </c>
    </row>
    <row r="194" spans="1:26" x14ac:dyDescent="0.35">
      <c r="A194" s="7" t="s">
        <v>27</v>
      </c>
      <c r="B194" s="7" t="s">
        <v>28</v>
      </c>
      <c r="C194" s="7" t="s">
        <v>50</v>
      </c>
      <c r="D194" s="7" t="s">
        <v>51</v>
      </c>
      <c r="E194" s="7" t="s">
        <v>42</v>
      </c>
      <c r="F194" s="7" t="s">
        <v>42</v>
      </c>
      <c r="G194" s="7">
        <v>2017</v>
      </c>
      <c r="H194" s="7" t="str">
        <f>CONCATENATE("14270345318")</f>
        <v>14270345318</v>
      </c>
      <c r="I194" s="7" t="s">
        <v>30</v>
      </c>
      <c r="J194" s="7" t="s">
        <v>31</v>
      </c>
      <c r="K194" s="7" t="str">
        <f>CONCATENATE("")</f>
        <v/>
      </c>
      <c r="L194" s="7" t="str">
        <f>CONCATENATE("4 4.3 2a")</f>
        <v>4 4.3 2a</v>
      </c>
      <c r="M194" s="7" t="str">
        <f>CONCATENATE("00221260433")</f>
        <v>00221260433</v>
      </c>
      <c r="N194" s="7" t="s">
        <v>335</v>
      </c>
      <c r="O194" s="7" t="s">
        <v>336</v>
      </c>
      <c r="P194" s="8">
        <v>44543</v>
      </c>
      <c r="Q194" s="7" t="s">
        <v>32</v>
      </c>
      <c r="R194" s="7" t="s">
        <v>46</v>
      </c>
      <c r="S194" s="7" t="s">
        <v>34</v>
      </c>
      <c r="T194" s="7"/>
      <c r="U194" s="7" t="s">
        <v>35</v>
      </c>
      <c r="V194" s="9">
        <v>109118.72</v>
      </c>
      <c r="W194" s="9">
        <v>47051.99</v>
      </c>
      <c r="X194" s="9">
        <v>43451.07</v>
      </c>
      <c r="Y194" s="7">
        <v>0</v>
      </c>
      <c r="Z194" s="9">
        <v>18615.66</v>
      </c>
    </row>
    <row r="195" spans="1:26" x14ac:dyDescent="0.35">
      <c r="A195" s="7" t="s">
        <v>27</v>
      </c>
      <c r="B195" s="7" t="s">
        <v>28</v>
      </c>
      <c r="C195" s="7" t="s">
        <v>50</v>
      </c>
      <c r="D195" s="7" t="s">
        <v>51</v>
      </c>
      <c r="E195" s="7" t="s">
        <v>42</v>
      </c>
      <c r="F195" s="7" t="s">
        <v>42</v>
      </c>
      <c r="G195" s="7">
        <v>2017</v>
      </c>
      <c r="H195" s="7" t="str">
        <f>CONCATENATE("04270233853")</f>
        <v>04270233853</v>
      </c>
      <c r="I195" s="7" t="s">
        <v>30</v>
      </c>
      <c r="J195" s="7" t="s">
        <v>31</v>
      </c>
      <c r="K195" s="7" t="str">
        <f>CONCATENATE("")</f>
        <v/>
      </c>
      <c r="L195" s="7" t="str">
        <f>CONCATENATE("4 4.1 2a")</f>
        <v>4 4.1 2a</v>
      </c>
      <c r="M195" s="7" t="str">
        <f>CONCATENATE("KRSSFN78C42Z133T")</f>
        <v>KRSSFN78C42Z133T</v>
      </c>
      <c r="N195" s="7" t="s">
        <v>337</v>
      </c>
      <c r="O195" s="7" t="s">
        <v>338</v>
      </c>
      <c r="P195" s="8">
        <v>44545</v>
      </c>
      <c r="Q195" s="7" t="s">
        <v>32</v>
      </c>
      <c r="R195" s="7" t="s">
        <v>33</v>
      </c>
      <c r="S195" s="7" t="s">
        <v>34</v>
      </c>
      <c r="T195" s="7"/>
      <c r="U195" s="7" t="s">
        <v>35</v>
      </c>
      <c r="V195" s="9">
        <v>14932.01</v>
      </c>
      <c r="W195" s="9">
        <v>6438.68</v>
      </c>
      <c r="X195" s="9">
        <v>5945.93</v>
      </c>
      <c r="Y195" s="7">
        <v>0</v>
      </c>
      <c r="Z195" s="9">
        <v>2547.4</v>
      </c>
    </row>
    <row r="196" spans="1:26" x14ac:dyDescent="0.35">
      <c r="A196" s="7" t="s">
        <v>27</v>
      </c>
      <c r="B196" s="7" t="s">
        <v>28</v>
      </c>
      <c r="C196" s="7" t="s">
        <v>50</v>
      </c>
      <c r="D196" s="7" t="s">
        <v>59</v>
      </c>
      <c r="E196" s="7" t="s">
        <v>42</v>
      </c>
      <c r="F196" s="7" t="s">
        <v>42</v>
      </c>
      <c r="G196" s="7">
        <v>2017</v>
      </c>
      <c r="H196" s="7" t="str">
        <f>CONCATENATE("14270348171")</f>
        <v>14270348171</v>
      </c>
      <c r="I196" s="7" t="s">
        <v>30</v>
      </c>
      <c r="J196" s="7" t="s">
        <v>31</v>
      </c>
      <c r="K196" s="7" t="str">
        <f>CONCATENATE("")</f>
        <v/>
      </c>
      <c r="L196" s="7" t="str">
        <f>CONCATENATE("4 4.1 2a")</f>
        <v>4 4.1 2a</v>
      </c>
      <c r="M196" s="7" t="str">
        <f>CONCATENATE("02287980441")</f>
        <v>02287980441</v>
      </c>
      <c r="N196" s="7" t="s">
        <v>339</v>
      </c>
      <c r="O196" s="7" t="s">
        <v>313</v>
      </c>
      <c r="P196" s="8">
        <v>44545</v>
      </c>
      <c r="Q196" s="7" t="s">
        <v>32</v>
      </c>
      <c r="R196" s="7" t="s">
        <v>33</v>
      </c>
      <c r="S196" s="7" t="s">
        <v>34</v>
      </c>
      <c r="T196" s="7"/>
      <c r="U196" s="7" t="s">
        <v>35</v>
      </c>
      <c r="V196" s="9">
        <v>1921.07</v>
      </c>
      <c r="W196" s="7">
        <v>828.37</v>
      </c>
      <c r="X196" s="7">
        <v>764.97</v>
      </c>
      <c r="Y196" s="7">
        <v>0</v>
      </c>
      <c r="Z196" s="7">
        <v>327.73</v>
      </c>
    </row>
    <row r="197" spans="1:26" x14ac:dyDescent="0.35">
      <c r="A197" s="7" t="s">
        <v>27</v>
      </c>
      <c r="B197" s="7" t="s">
        <v>28</v>
      </c>
      <c r="C197" s="7" t="s">
        <v>50</v>
      </c>
      <c r="D197" s="7" t="s">
        <v>59</v>
      </c>
      <c r="E197" s="7" t="s">
        <v>38</v>
      </c>
      <c r="F197" s="7" t="s">
        <v>340</v>
      </c>
      <c r="G197" s="7">
        <v>2017</v>
      </c>
      <c r="H197" s="7" t="str">
        <f>CONCATENATE("14270348197")</f>
        <v>14270348197</v>
      </c>
      <c r="I197" s="7" t="s">
        <v>30</v>
      </c>
      <c r="J197" s="7" t="s">
        <v>31</v>
      </c>
      <c r="K197" s="7" t="str">
        <f>CONCATENATE("")</f>
        <v/>
      </c>
      <c r="L197" s="7" t="str">
        <f>CONCATENATE("4 4.1 2a")</f>
        <v>4 4.1 2a</v>
      </c>
      <c r="M197" s="7" t="str">
        <f>CONCATENATE("CSSGNI62A04F501K")</f>
        <v>CSSGNI62A04F501K</v>
      </c>
      <c r="N197" s="7" t="s">
        <v>341</v>
      </c>
      <c r="O197" s="7" t="s">
        <v>313</v>
      </c>
      <c r="P197" s="8">
        <v>44545</v>
      </c>
      <c r="Q197" s="7" t="s">
        <v>32</v>
      </c>
      <c r="R197" s="7" t="s">
        <v>33</v>
      </c>
      <c r="S197" s="7" t="s">
        <v>34</v>
      </c>
      <c r="T197" s="7"/>
      <c r="U197" s="7" t="s">
        <v>35</v>
      </c>
      <c r="V197" s="9">
        <v>131435.19</v>
      </c>
      <c r="W197" s="9">
        <v>56674.85</v>
      </c>
      <c r="X197" s="9">
        <v>52337.49</v>
      </c>
      <c r="Y197" s="7">
        <v>0</v>
      </c>
      <c r="Z197" s="9">
        <v>22422.85</v>
      </c>
    </row>
    <row r="198" spans="1:26" ht="17.5" x14ac:dyDescent="0.35">
      <c r="A198" s="7" t="s">
        <v>27</v>
      </c>
      <c r="B198" s="7" t="s">
        <v>43</v>
      </c>
      <c r="C198" s="7" t="s">
        <v>50</v>
      </c>
      <c r="D198" s="7" t="s">
        <v>55</v>
      </c>
      <c r="E198" s="7" t="s">
        <v>38</v>
      </c>
      <c r="F198" s="7" t="s">
        <v>78</v>
      </c>
      <c r="G198" s="7">
        <v>2021</v>
      </c>
      <c r="H198" s="7" t="str">
        <f>CONCATENATE("14211130274")</f>
        <v>14211130274</v>
      </c>
      <c r="I198" s="7" t="s">
        <v>30</v>
      </c>
      <c r="J198" s="7" t="s">
        <v>31</v>
      </c>
      <c r="K198" s="7" t="str">
        <f>CONCATENATE("")</f>
        <v/>
      </c>
      <c r="L198" s="7" t="str">
        <f>CONCATENATE("12 12.1 4a")</f>
        <v>12 12.1 4a</v>
      </c>
      <c r="M198" s="7" t="str">
        <f>CONCATENATE("00328980412")</f>
        <v>00328980412</v>
      </c>
      <c r="N198" s="7" t="s">
        <v>254</v>
      </c>
      <c r="O198" s="7" t="s">
        <v>342</v>
      </c>
      <c r="P198" s="8">
        <v>44544</v>
      </c>
      <c r="Q198" s="7" t="s">
        <v>32</v>
      </c>
      <c r="R198" s="7" t="s">
        <v>33</v>
      </c>
      <c r="S198" s="7" t="s">
        <v>34</v>
      </c>
      <c r="T198" s="7"/>
      <c r="U198" s="7" t="s">
        <v>35</v>
      </c>
      <c r="V198" s="9">
        <v>10839.34</v>
      </c>
      <c r="W198" s="9">
        <v>4673.92</v>
      </c>
      <c r="X198" s="9">
        <v>4316.2299999999996</v>
      </c>
      <c r="Y198" s="7">
        <v>0</v>
      </c>
      <c r="Z198" s="9">
        <v>1849.19</v>
      </c>
    </row>
    <row r="199" spans="1:26" x14ac:dyDescent="0.35">
      <c r="A199" s="7" t="s">
        <v>27</v>
      </c>
      <c r="B199" s="7" t="s">
        <v>28</v>
      </c>
      <c r="C199" s="7" t="s">
        <v>50</v>
      </c>
      <c r="D199" s="7" t="s">
        <v>95</v>
      </c>
      <c r="E199" s="7" t="s">
        <v>42</v>
      </c>
      <c r="F199" s="7" t="s">
        <v>42</v>
      </c>
      <c r="G199" s="7">
        <v>2017</v>
      </c>
      <c r="H199" s="7" t="str">
        <f>CONCATENATE("14270341614")</f>
        <v>14270341614</v>
      </c>
      <c r="I199" s="7" t="s">
        <v>40</v>
      </c>
      <c r="J199" s="7" t="s">
        <v>31</v>
      </c>
      <c r="K199" s="7" t="str">
        <f>CONCATENATE("")</f>
        <v/>
      </c>
      <c r="L199" s="7" t="str">
        <f>CONCATENATE("4 4.1 2a")</f>
        <v>4 4.1 2a</v>
      </c>
      <c r="M199" s="7" t="str">
        <f>CONCATENATE("01914370430")</f>
        <v>01914370430</v>
      </c>
      <c r="N199" s="7" t="s">
        <v>96</v>
      </c>
      <c r="O199" s="7" t="s">
        <v>343</v>
      </c>
      <c r="P199" s="8">
        <v>44540</v>
      </c>
      <c r="Q199" s="7" t="s">
        <v>32</v>
      </c>
      <c r="R199" s="7" t="s">
        <v>33</v>
      </c>
      <c r="S199" s="7" t="s">
        <v>34</v>
      </c>
      <c r="T199" s="7"/>
      <c r="U199" s="7" t="s">
        <v>35</v>
      </c>
      <c r="V199" s="9">
        <v>25170.38</v>
      </c>
      <c r="W199" s="9">
        <v>10853.47</v>
      </c>
      <c r="X199" s="9">
        <v>10022.85</v>
      </c>
      <c r="Y199" s="7">
        <v>0</v>
      </c>
      <c r="Z199" s="9">
        <v>4294.0600000000004</v>
      </c>
    </row>
    <row r="200" spans="1:26" x14ac:dyDescent="0.35">
      <c r="A200" s="7" t="s">
        <v>27</v>
      </c>
      <c r="B200" s="7" t="s">
        <v>28</v>
      </c>
      <c r="C200" s="7" t="s">
        <v>50</v>
      </c>
      <c r="D200" s="7" t="s">
        <v>51</v>
      </c>
      <c r="E200" s="7" t="s">
        <v>42</v>
      </c>
      <c r="F200" s="7" t="s">
        <v>42</v>
      </c>
      <c r="G200" s="7">
        <v>2017</v>
      </c>
      <c r="H200" s="7" t="str">
        <f>CONCATENATE("14270340913")</f>
        <v>14270340913</v>
      </c>
      <c r="I200" s="7" t="s">
        <v>30</v>
      </c>
      <c r="J200" s="7" t="s">
        <v>31</v>
      </c>
      <c r="K200" s="7" t="str">
        <f>CONCATENATE("")</f>
        <v/>
      </c>
      <c r="L200" s="7" t="str">
        <f>CONCATENATE("20 20.1 ")</f>
        <v xml:space="preserve">20 20.1 </v>
      </c>
      <c r="M200" s="7" t="str">
        <f>CONCATENATE("80008630420")</f>
        <v>80008630420</v>
      </c>
      <c r="N200" s="7" t="s">
        <v>344</v>
      </c>
      <c r="O200" s="7" t="s">
        <v>345</v>
      </c>
      <c r="P200" s="8">
        <v>44540</v>
      </c>
      <c r="Q200" s="7" t="s">
        <v>32</v>
      </c>
      <c r="R200" s="7" t="s">
        <v>47</v>
      </c>
      <c r="S200" s="7" t="s">
        <v>34</v>
      </c>
      <c r="T200" s="7"/>
      <c r="U200" s="7" t="s">
        <v>35</v>
      </c>
      <c r="V200" s="9">
        <v>163726.96</v>
      </c>
      <c r="W200" s="9">
        <v>70599.070000000007</v>
      </c>
      <c r="X200" s="9">
        <v>65196.08</v>
      </c>
      <c r="Y200" s="7">
        <v>0</v>
      </c>
      <c r="Z200" s="9">
        <v>27931.81</v>
      </c>
    </row>
    <row r="201" spans="1:26" x14ac:dyDescent="0.35">
      <c r="A201" s="7" t="s">
        <v>27</v>
      </c>
      <c r="B201" s="7" t="s">
        <v>28</v>
      </c>
      <c r="C201" s="7" t="s">
        <v>50</v>
      </c>
      <c r="D201" s="7" t="s">
        <v>95</v>
      </c>
      <c r="E201" s="7" t="s">
        <v>42</v>
      </c>
      <c r="F201" s="7" t="s">
        <v>42</v>
      </c>
      <c r="G201" s="7">
        <v>2017</v>
      </c>
      <c r="H201" s="7" t="str">
        <f>CONCATENATE("14270348163")</f>
        <v>14270348163</v>
      </c>
      <c r="I201" s="7" t="s">
        <v>30</v>
      </c>
      <c r="J201" s="7" t="s">
        <v>31</v>
      </c>
      <c r="K201" s="7" t="str">
        <f>CONCATENATE("")</f>
        <v/>
      </c>
      <c r="L201" s="7" t="str">
        <f>CONCATENATE("4 4.1 2a")</f>
        <v>4 4.1 2a</v>
      </c>
      <c r="M201" s="7" t="str">
        <f>CONCATENATE("QCQLFR48P16I651P")</f>
        <v>QCQLFR48P16I651P</v>
      </c>
      <c r="N201" s="7" t="s">
        <v>346</v>
      </c>
      <c r="O201" s="7" t="s">
        <v>313</v>
      </c>
      <c r="P201" s="8">
        <v>44545</v>
      </c>
      <c r="Q201" s="7" t="s">
        <v>32</v>
      </c>
      <c r="R201" s="7" t="s">
        <v>33</v>
      </c>
      <c r="S201" s="7" t="s">
        <v>34</v>
      </c>
      <c r="T201" s="7"/>
      <c r="U201" s="7" t="s">
        <v>35</v>
      </c>
      <c r="V201" s="9">
        <v>4171.5</v>
      </c>
      <c r="W201" s="9">
        <v>1798.75</v>
      </c>
      <c r="X201" s="9">
        <v>1661.09</v>
      </c>
      <c r="Y201" s="7">
        <v>0</v>
      </c>
      <c r="Z201" s="7">
        <v>711.66</v>
      </c>
    </row>
    <row r="202" spans="1:26" x14ac:dyDescent="0.35">
      <c r="A202" s="7" t="s">
        <v>27</v>
      </c>
      <c r="B202" s="7" t="s">
        <v>28</v>
      </c>
      <c r="C202" s="7" t="s">
        <v>50</v>
      </c>
      <c r="D202" s="7" t="s">
        <v>95</v>
      </c>
      <c r="E202" s="7" t="s">
        <v>29</v>
      </c>
      <c r="F202" s="7" t="s">
        <v>298</v>
      </c>
      <c r="G202" s="7">
        <v>2017</v>
      </c>
      <c r="H202" s="7" t="str">
        <f>CONCATENATE("14270348155")</f>
        <v>14270348155</v>
      </c>
      <c r="I202" s="7" t="s">
        <v>30</v>
      </c>
      <c r="J202" s="7" t="s">
        <v>31</v>
      </c>
      <c r="K202" s="7" t="str">
        <f>CONCATENATE("")</f>
        <v/>
      </c>
      <c r="L202" s="7" t="str">
        <f>CONCATENATE("4 4.4 4c")</f>
        <v>4 4.4 4c</v>
      </c>
      <c r="M202" s="7" t="str">
        <f>CONCATENATE("MSLGLI61B20L992T")</f>
        <v>MSLGLI61B20L992T</v>
      </c>
      <c r="N202" s="7" t="s">
        <v>347</v>
      </c>
      <c r="O202" s="7" t="s">
        <v>315</v>
      </c>
      <c r="P202" s="8">
        <v>44545</v>
      </c>
      <c r="Q202" s="7" t="s">
        <v>32</v>
      </c>
      <c r="R202" s="7" t="s">
        <v>33</v>
      </c>
      <c r="S202" s="7" t="s">
        <v>34</v>
      </c>
      <c r="T202" s="7"/>
      <c r="U202" s="7" t="s">
        <v>35</v>
      </c>
      <c r="V202" s="9">
        <v>1436.8</v>
      </c>
      <c r="W202" s="7">
        <v>619.54999999999995</v>
      </c>
      <c r="X202" s="7">
        <v>572.13</v>
      </c>
      <c r="Y202" s="7">
        <v>0</v>
      </c>
      <c r="Z202" s="7">
        <v>245.12</v>
      </c>
    </row>
    <row r="203" spans="1:26" x14ac:dyDescent="0.35">
      <c r="A203" s="7" t="s">
        <v>27</v>
      </c>
      <c r="B203" s="7" t="s">
        <v>43</v>
      </c>
      <c r="C203" s="7" t="s">
        <v>50</v>
      </c>
      <c r="D203" s="7" t="s">
        <v>55</v>
      </c>
      <c r="E203" s="7" t="s">
        <v>29</v>
      </c>
      <c r="F203" s="7" t="s">
        <v>56</v>
      </c>
      <c r="G203" s="7">
        <v>2021</v>
      </c>
      <c r="H203" s="7" t="str">
        <f>CONCATENATE("14241160978")</f>
        <v>14241160978</v>
      </c>
      <c r="I203" s="7" t="s">
        <v>30</v>
      </c>
      <c r="J203" s="7" t="s">
        <v>31</v>
      </c>
      <c r="K203" s="7" t="str">
        <f>CONCATENATE("")</f>
        <v/>
      </c>
      <c r="L203" s="7" t="str">
        <f>CONCATENATE("11 11.2 4b")</f>
        <v>11 11.2 4b</v>
      </c>
      <c r="M203" s="7" t="str">
        <f>CONCATENATE("02727640415")</f>
        <v>02727640415</v>
      </c>
      <c r="N203" s="7" t="s">
        <v>348</v>
      </c>
      <c r="O203" s="7" t="s">
        <v>349</v>
      </c>
      <c r="P203" s="8">
        <v>44540</v>
      </c>
      <c r="Q203" s="7" t="s">
        <v>32</v>
      </c>
      <c r="R203" s="7" t="s">
        <v>33</v>
      </c>
      <c r="S203" s="7" t="s">
        <v>34</v>
      </c>
      <c r="T203" s="7"/>
      <c r="U203" s="7" t="s">
        <v>35</v>
      </c>
      <c r="V203" s="7">
        <v>666.29</v>
      </c>
      <c r="W203" s="7">
        <v>287.3</v>
      </c>
      <c r="X203" s="7">
        <v>265.32</v>
      </c>
      <c r="Y203" s="7">
        <v>0</v>
      </c>
      <c r="Z203" s="7">
        <v>113.67</v>
      </c>
    </row>
    <row r="204" spans="1:26" x14ac:dyDescent="0.35">
      <c r="A204" s="7" t="s">
        <v>27</v>
      </c>
      <c r="B204" s="7" t="s">
        <v>43</v>
      </c>
      <c r="C204" s="7" t="s">
        <v>50</v>
      </c>
      <c r="D204" s="7" t="s">
        <v>55</v>
      </c>
      <c r="E204" s="7" t="s">
        <v>41</v>
      </c>
      <c r="F204" s="7" t="s">
        <v>73</v>
      </c>
      <c r="G204" s="7">
        <v>2021</v>
      </c>
      <c r="H204" s="7" t="str">
        <f>CONCATENATE("14240576661")</f>
        <v>14240576661</v>
      </c>
      <c r="I204" s="7" t="s">
        <v>30</v>
      </c>
      <c r="J204" s="7" t="s">
        <v>31</v>
      </c>
      <c r="K204" s="7" t="str">
        <f>CONCATENATE("")</f>
        <v/>
      </c>
      <c r="L204" s="7" t="str">
        <f>CONCATENATE("11 11.2 4b")</f>
        <v>11 11.2 4b</v>
      </c>
      <c r="M204" s="7" t="str">
        <f>CONCATENATE("SCLGRG62A16I459L")</f>
        <v>SCLGRG62A16I459L</v>
      </c>
      <c r="N204" s="7" t="s">
        <v>350</v>
      </c>
      <c r="O204" s="7" t="s">
        <v>351</v>
      </c>
      <c r="P204" s="8">
        <v>44543</v>
      </c>
      <c r="Q204" s="7" t="s">
        <v>32</v>
      </c>
      <c r="R204" s="7" t="s">
        <v>33</v>
      </c>
      <c r="S204" s="7" t="s">
        <v>34</v>
      </c>
      <c r="T204" s="7"/>
      <c r="U204" s="7" t="s">
        <v>35</v>
      </c>
      <c r="V204" s="7">
        <v>643.79999999999995</v>
      </c>
      <c r="W204" s="7">
        <v>277.61</v>
      </c>
      <c r="X204" s="7">
        <v>256.36</v>
      </c>
      <c r="Y204" s="7">
        <v>0</v>
      </c>
      <c r="Z204" s="7">
        <v>109.83</v>
      </c>
    </row>
    <row r="205" spans="1:26" x14ac:dyDescent="0.35">
      <c r="A205" s="7" t="s">
        <v>27</v>
      </c>
      <c r="B205" s="7" t="s">
        <v>43</v>
      </c>
      <c r="C205" s="7" t="s">
        <v>50</v>
      </c>
      <c r="D205" s="7" t="s">
        <v>55</v>
      </c>
      <c r="E205" s="7" t="s">
        <v>29</v>
      </c>
      <c r="F205" s="7" t="s">
        <v>180</v>
      </c>
      <c r="G205" s="7">
        <v>2021</v>
      </c>
      <c r="H205" s="7" t="str">
        <f>CONCATENATE("14240318478")</f>
        <v>14240318478</v>
      </c>
      <c r="I205" s="7" t="s">
        <v>30</v>
      </c>
      <c r="J205" s="7" t="s">
        <v>31</v>
      </c>
      <c r="K205" s="7" t="str">
        <f>CONCATENATE("")</f>
        <v/>
      </c>
      <c r="L205" s="7" t="str">
        <f>CONCATENATE("11 11.2 4b")</f>
        <v>11 11.2 4b</v>
      </c>
      <c r="M205" s="7" t="str">
        <f>CONCATENATE("CNNMRT93A42L500G")</f>
        <v>CNNMRT93A42L500G</v>
      </c>
      <c r="N205" s="7" t="s">
        <v>352</v>
      </c>
      <c r="O205" s="7" t="s">
        <v>351</v>
      </c>
      <c r="P205" s="8">
        <v>44543</v>
      </c>
      <c r="Q205" s="7" t="s">
        <v>32</v>
      </c>
      <c r="R205" s="7" t="s">
        <v>33</v>
      </c>
      <c r="S205" s="7" t="s">
        <v>34</v>
      </c>
      <c r="T205" s="7"/>
      <c r="U205" s="7" t="s">
        <v>35</v>
      </c>
      <c r="V205" s="7">
        <v>356.81</v>
      </c>
      <c r="W205" s="7">
        <v>153.86000000000001</v>
      </c>
      <c r="X205" s="7">
        <v>142.08000000000001</v>
      </c>
      <c r="Y205" s="7">
        <v>0</v>
      </c>
      <c r="Z205" s="7">
        <v>60.87</v>
      </c>
    </row>
    <row r="206" spans="1:26" x14ac:dyDescent="0.35">
      <c r="A206" s="7" t="s">
        <v>27</v>
      </c>
      <c r="B206" s="7" t="s">
        <v>43</v>
      </c>
      <c r="C206" s="7" t="s">
        <v>50</v>
      </c>
      <c r="D206" s="7" t="s">
        <v>55</v>
      </c>
      <c r="E206" s="7" t="s">
        <v>29</v>
      </c>
      <c r="F206" s="7" t="s">
        <v>67</v>
      </c>
      <c r="G206" s="7">
        <v>2021</v>
      </c>
      <c r="H206" s="7" t="str">
        <f>CONCATENATE("14240899568")</f>
        <v>14240899568</v>
      </c>
      <c r="I206" s="7" t="s">
        <v>30</v>
      </c>
      <c r="J206" s="7" t="s">
        <v>31</v>
      </c>
      <c r="K206" s="7" t="str">
        <f>CONCATENATE("")</f>
        <v/>
      </c>
      <c r="L206" s="7" t="str">
        <f>CONCATENATE("11 11.2 4b")</f>
        <v>11 11.2 4b</v>
      </c>
      <c r="M206" s="7" t="str">
        <f>CONCATENATE("01337820417")</f>
        <v>01337820417</v>
      </c>
      <c r="N206" s="7" t="s">
        <v>353</v>
      </c>
      <c r="O206" s="7" t="s">
        <v>351</v>
      </c>
      <c r="P206" s="8">
        <v>44543</v>
      </c>
      <c r="Q206" s="7" t="s">
        <v>32</v>
      </c>
      <c r="R206" s="7" t="s">
        <v>33</v>
      </c>
      <c r="S206" s="7" t="s">
        <v>34</v>
      </c>
      <c r="T206" s="7"/>
      <c r="U206" s="7" t="s">
        <v>35</v>
      </c>
      <c r="V206" s="9">
        <v>4890.49</v>
      </c>
      <c r="W206" s="9">
        <v>2108.7800000000002</v>
      </c>
      <c r="X206" s="9">
        <v>1947.39</v>
      </c>
      <c r="Y206" s="7">
        <v>0</v>
      </c>
      <c r="Z206" s="7">
        <v>834.32</v>
      </c>
    </row>
    <row r="207" spans="1:26" x14ac:dyDescent="0.35">
      <c r="A207" s="7" t="s">
        <v>27</v>
      </c>
      <c r="B207" s="7" t="s">
        <v>28</v>
      </c>
      <c r="C207" s="7" t="s">
        <v>50</v>
      </c>
      <c r="D207" s="7" t="s">
        <v>59</v>
      </c>
      <c r="E207" s="7" t="s">
        <v>44</v>
      </c>
      <c r="F207" s="7" t="s">
        <v>82</v>
      </c>
      <c r="G207" s="7">
        <v>2017</v>
      </c>
      <c r="H207" s="7" t="str">
        <f>CONCATENATE("14270337505")</f>
        <v>14270337505</v>
      </c>
      <c r="I207" s="7" t="s">
        <v>30</v>
      </c>
      <c r="J207" s="7" t="s">
        <v>31</v>
      </c>
      <c r="K207" s="7" t="str">
        <f>CONCATENATE("")</f>
        <v/>
      </c>
      <c r="L207" s="7" t="str">
        <f>CONCATENATE("4 4.1 2a")</f>
        <v>4 4.1 2a</v>
      </c>
      <c r="M207" s="7" t="str">
        <f>CONCATENATE("CHRPLA68P29H769J")</f>
        <v>CHRPLA68P29H769J</v>
      </c>
      <c r="N207" s="7" t="s">
        <v>354</v>
      </c>
      <c r="O207" s="7" t="s">
        <v>355</v>
      </c>
      <c r="P207" s="8">
        <v>44543</v>
      </c>
      <c r="Q207" s="7" t="s">
        <v>32</v>
      </c>
      <c r="R207" s="7" t="s">
        <v>33</v>
      </c>
      <c r="S207" s="7" t="s">
        <v>34</v>
      </c>
      <c r="T207" s="7"/>
      <c r="U207" s="7" t="s">
        <v>35</v>
      </c>
      <c r="V207" s="9">
        <v>29876</v>
      </c>
      <c r="W207" s="9">
        <v>12882.53</v>
      </c>
      <c r="X207" s="9">
        <v>11896.62</v>
      </c>
      <c r="Y207" s="7">
        <v>0</v>
      </c>
      <c r="Z207" s="9">
        <v>5096.8500000000004</v>
      </c>
    </row>
    <row r="208" spans="1:26" x14ac:dyDescent="0.35">
      <c r="A208" s="7" t="s">
        <v>27</v>
      </c>
      <c r="B208" s="7" t="s">
        <v>43</v>
      </c>
      <c r="C208" s="7" t="s">
        <v>50</v>
      </c>
      <c r="D208" s="7" t="s">
        <v>55</v>
      </c>
      <c r="E208" s="7" t="s">
        <v>36</v>
      </c>
      <c r="F208" s="7" t="s">
        <v>226</v>
      </c>
      <c r="G208" s="7">
        <v>2021</v>
      </c>
      <c r="H208" s="7" t="str">
        <f>CONCATENATE("14241172692")</f>
        <v>14241172692</v>
      </c>
      <c r="I208" s="7" t="s">
        <v>30</v>
      </c>
      <c r="J208" s="7" t="s">
        <v>31</v>
      </c>
      <c r="K208" s="7" t="str">
        <f>CONCATENATE("")</f>
        <v/>
      </c>
      <c r="L208" s="7" t="str">
        <f>CONCATENATE("11 11.2 4b")</f>
        <v>11 11.2 4b</v>
      </c>
      <c r="M208" s="7" t="str">
        <f>CONCATENATE("CVRFNC57D25G479Q")</f>
        <v>CVRFNC57D25G479Q</v>
      </c>
      <c r="N208" s="7" t="s">
        <v>356</v>
      </c>
      <c r="O208" s="7" t="s">
        <v>349</v>
      </c>
      <c r="P208" s="8">
        <v>44540</v>
      </c>
      <c r="Q208" s="7" t="s">
        <v>32</v>
      </c>
      <c r="R208" s="7" t="s">
        <v>33</v>
      </c>
      <c r="S208" s="7" t="s">
        <v>34</v>
      </c>
      <c r="T208" s="7"/>
      <c r="U208" s="7" t="s">
        <v>35</v>
      </c>
      <c r="V208" s="9">
        <v>1444.61</v>
      </c>
      <c r="W208" s="7">
        <v>622.91999999999996</v>
      </c>
      <c r="X208" s="7">
        <v>575.24</v>
      </c>
      <c r="Y208" s="7">
        <v>0</v>
      </c>
      <c r="Z208" s="7">
        <v>246.45</v>
      </c>
    </row>
    <row r="209" spans="1:26" x14ac:dyDescent="0.35">
      <c r="A209" s="7" t="s">
        <v>27</v>
      </c>
      <c r="B209" s="7" t="s">
        <v>43</v>
      </c>
      <c r="C209" s="7" t="s">
        <v>50</v>
      </c>
      <c r="D209" s="7" t="s">
        <v>55</v>
      </c>
      <c r="E209" s="7" t="s">
        <v>29</v>
      </c>
      <c r="F209" s="7" t="s">
        <v>91</v>
      </c>
      <c r="G209" s="7">
        <v>2021</v>
      </c>
      <c r="H209" s="7" t="str">
        <f>CONCATENATE("14240891649")</f>
        <v>14240891649</v>
      </c>
      <c r="I209" s="7" t="s">
        <v>30</v>
      </c>
      <c r="J209" s="7" t="s">
        <v>31</v>
      </c>
      <c r="K209" s="7" t="str">
        <f>CONCATENATE("")</f>
        <v/>
      </c>
      <c r="L209" s="7" t="str">
        <f>CONCATENATE("11 11.2 4b")</f>
        <v>11 11.2 4b</v>
      </c>
      <c r="M209" s="7" t="str">
        <f>CONCATENATE("PLTFPP76H12F347A")</f>
        <v>PLTFPP76H12F347A</v>
      </c>
      <c r="N209" s="7" t="s">
        <v>357</v>
      </c>
      <c r="O209" s="7" t="s">
        <v>349</v>
      </c>
      <c r="P209" s="8">
        <v>44540</v>
      </c>
      <c r="Q209" s="7" t="s">
        <v>32</v>
      </c>
      <c r="R209" s="7" t="s">
        <v>33</v>
      </c>
      <c r="S209" s="7" t="s">
        <v>34</v>
      </c>
      <c r="T209" s="7"/>
      <c r="U209" s="7" t="s">
        <v>35</v>
      </c>
      <c r="V209" s="9">
        <v>1185.67</v>
      </c>
      <c r="W209" s="7">
        <v>511.26</v>
      </c>
      <c r="X209" s="7">
        <v>472.13</v>
      </c>
      <c r="Y209" s="7">
        <v>0</v>
      </c>
      <c r="Z209" s="7">
        <v>202.28</v>
      </c>
    </row>
    <row r="210" spans="1:26" x14ac:dyDescent="0.35">
      <c r="A210" s="7" t="s">
        <v>27</v>
      </c>
      <c r="B210" s="7" t="s">
        <v>43</v>
      </c>
      <c r="C210" s="7" t="s">
        <v>50</v>
      </c>
      <c r="D210" s="7" t="s">
        <v>55</v>
      </c>
      <c r="E210" s="7" t="s">
        <v>36</v>
      </c>
      <c r="F210" s="7" t="s">
        <v>226</v>
      </c>
      <c r="G210" s="7">
        <v>2021</v>
      </c>
      <c r="H210" s="7" t="str">
        <f>CONCATENATE("14241185033")</f>
        <v>14241185033</v>
      </c>
      <c r="I210" s="7" t="s">
        <v>30</v>
      </c>
      <c r="J210" s="7" t="s">
        <v>31</v>
      </c>
      <c r="K210" s="7" t="str">
        <f>CONCATENATE("")</f>
        <v/>
      </c>
      <c r="L210" s="7" t="str">
        <f>CONCATENATE("11 11.2 4b")</f>
        <v>11 11.2 4b</v>
      </c>
      <c r="M210" s="7" t="str">
        <f>CONCATENATE("00617000419")</f>
        <v>00617000419</v>
      </c>
      <c r="N210" s="7" t="s">
        <v>358</v>
      </c>
      <c r="O210" s="7" t="s">
        <v>349</v>
      </c>
      <c r="P210" s="8">
        <v>44540</v>
      </c>
      <c r="Q210" s="7" t="s">
        <v>32</v>
      </c>
      <c r="R210" s="7" t="s">
        <v>33</v>
      </c>
      <c r="S210" s="7" t="s">
        <v>34</v>
      </c>
      <c r="T210" s="7"/>
      <c r="U210" s="7" t="s">
        <v>35</v>
      </c>
      <c r="V210" s="9">
        <v>6434.36</v>
      </c>
      <c r="W210" s="9">
        <v>2774.5</v>
      </c>
      <c r="X210" s="9">
        <v>2562.16</v>
      </c>
      <c r="Y210" s="7">
        <v>0</v>
      </c>
      <c r="Z210" s="9">
        <v>1097.7</v>
      </c>
    </row>
    <row r="211" spans="1:26" x14ac:dyDescent="0.35">
      <c r="A211" s="7" t="s">
        <v>27</v>
      </c>
      <c r="B211" s="7" t="s">
        <v>43</v>
      </c>
      <c r="C211" s="7" t="s">
        <v>50</v>
      </c>
      <c r="D211" s="7" t="s">
        <v>55</v>
      </c>
      <c r="E211" s="7" t="s">
        <v>38</v>
      </c>
      <c r="F211" s="7" t="s">
        <v>359</v>
      </c>
      <c r="G211" s="7">
        <v>2021</v>
      </c>
      <c r="H211" s="7" t="str">
        <f>CONCATENATE("14240804600")</f>
        <v>14240804600</v>
      </c>
      <c r="I211" s="7" t="s">
        <v>30</v>
      </c>
      <c r="J211" s="7" t="s">
        <v>31</v>
      </c>
      <c r="K211" s="7" t="str">
        <f>CONCATENATE("")</f>
        <v/>
      </c>
      <c r="L211" s="7" t="str">
        <f>CONCATENATE("11 11.1 4b")</f>
        <v>11 11.1 4b</v>
      </c>
      <c r="M211" s="7" t="str">
        <f>CONCATENATE("HNTFDR65P12B220H")</f>
        <v>HNTFDR65P12B220H</v>
      </c>
      <c r="N211" s="7" t="s">
        <v>360</v>
      </c>
      <c r="O211" s="7" t="s">
        <v>349</v>
      </c>
      <c r="P211" s="8">
        <v>44540</v>
      </c>
      <c r="Q211" s="7" t="s">
        <v>32</v>
      </c>
      <c r="R211" s="7" t="s">
        <v>33</v>
      </c>
      <c r="S211" s="7" t="s">
        <v>34</v>
      </c>
      <c r="T211" s="7"/>
      <c r="U211" s="7" t="s">
        <v>35</v>
      </c>
      <c r="V211" s="9">
        <v>1467.49</v>
      </c>
      <c r="W211" s="7">
        <v>632.78</v>
      </c>
      <c r="X211" s="7">
        <v>584.35</v>
      </c>
      <c r="Y211" s="7">
        <v>0</v>
      </c>
      <c r="Z211" s="7">
        <v>250.36</v>
      </c>
    </row>
    <row r="212" spans="1:26" x14ac:dyDescent="0.35">
      <c r="A212" s="7" t="s">
        <v>27</v>
      </c>
      <c r="B212" s="7" t="s">
        <v>43</v>
      </c>
      <c r="C212" s="7" t="s">
        <v>50</v>
      </c>
      <c r="D212" s="7" t="s">
        <v>55</v>
      </c>
      <c r="E212" s="7" t="s">
        <v>29</v>
      </c>
      <c r="F212" s="7" t="s">
        <v>56</v>
      </c>
      <c r="G212" s="7">
        <v>2021</v>
      </c>
      <c r="H212" s="7" t="str">
        <f>CONCATENATE("14240140898")</f>
        <v>14240140898</v>
      </c>
      <c r="I212" s="7" t="s">
        <v>30</v>
      </c>
      <c r="J212" s="7" t="s">
        <v>31</v>
      </c>
      <c r="K212" s="7" t="str">
        <f>CONCATENATE("")</f>
        <v/>
      </c>
      <c r="L212" s="7" t="str">
        <f>CONCATENATE("11 11.2 4b")</f>
        <v>11 11.2 4b</v>
      </c>
      <c r="M212" s="7" t="str">
        <f>CONCATENATE("RMTGNN74D27D749J")</f>
        <v>RMTGNN74D27D749J</v>
      </c>
      <c r="N212" s="7" t="s">
        <v>361</v>
      </c>
      <c r="O212" s="7" t="s">
        <v>349</v>
      </c>
      <c r="P212" s="8">
        <v>44540</v>
      </c>
      <c r="Q212" s="7" t="s">
        <v>32</v>
      </c>
      <c r="R212" s="7" t="s">
        <v>33</v>
      </c>
      <c r="S212" s="7" t="s">
        <v>34</v>
      </c>
      <c r="T212" s="7"/>
      <c r="U212" s="7" t="s">
        <v>35</v>
      </c>
      <c r="V212" s="9">
        <v>28271.53</v>
      </c>
      <c r="W212" s="9">
        <v>12190.68</v>
      </c>
      <c r="X212" s="9">
        <v>11257.72</v>
      </c>
      <c r="Y212" s="7">
        <v>0</v>
      </c>
      <c r="Z212" s="9">
        <v>4823.13</v>
      </c>
    </row>
    <row r="213" spans="1:26" x14ac:dyDescent="0.35">
      <c r="A213" s="7" t="s">
        <v>27</v>
      </c>
      <c r="B213" s="7" t="s">
        <v>43</v>
      </c>
      <c r="C213" s="7" t="s">
        <v>50</v>
      </c>
      <c r="D213" s="7" t="s">
        <v>55</v>
      </c>
      <c r="E213" s="7" t="s">
        <v>36</v>
      </c>
      <c r="F213" s="7" t="s">
        <v>226</v>
      </c>
      <c r="G213" s="7">
        <v>2021</v>
      </c>
      <c r="H213" s="7" t="str">
        <f>CONCATENATE("14241332833")</f>
        <v>14241332833</v>
      </c>
      <c r="I213" s="7" t="s">
        <v>30</v>
      </c>
      <c r="J213" s="7" t="s">
        <v>31</v>
      </c>
      <c r="K213" s="7" t="str">
        <f>CONCATENATE("")</f>
        <v/>
      </c>
      <c r="L213" s="7" t="str">
        <f>CONCATENATE("11 11.1 4b")</f>
        <v>11 11.1 4b</v>
      </c>
      <c r="M213" s="7" t="str">
        <f>CONCATENATE("01379100413")</f>
        <v>01379100413</v>
      </c>
      <c r="N213" s="7" t="s">
        <v>362</v>
      </c>
      <c r="O213" s="7" t="s">
        <v>349</v>
      </c>
      <c r="P213" s="8">
        <v>44540</v>
      </c>
      <c r="Q213" s="7" t="s">
        <v>32</v>
      </c>
      <c r="R213" s="7" t="s">
        <v>33</v>
      </c>
      <c r="S213" s="7" t="s">
        <v>34</v>
      </c>
      <c r="T213" s="7"/>
      <c r="U213" s="7" t="s">
        <v>35</v>
      </c>
      <c r="V213" s="7">
        <v>109.36</v>
      </c>
      <c r="W213" s="7">
        <v>47.16</v>
      </c>
      <c r="X213" s="7">
        <v>43.55</v>
      </c>
      <c r="Y213" s="7">
        <v>0</v>
      </c>
      <c r="Z213" s="7">
        <v>18.649999999999999</v>
      </c>
    </row>
    <row r="214" spans="1:26" x14ac:dyDescent="0.35">
      <c r="A214" s="7" t="s">
        <v>27</v>
      </c>
      <c r="B214" s="7" t="s">
        <v>43</v>
      </c>
      <c r="C214" s="7" t="s">
        <v>50</v>
      </c>
      <c r="D214" s="7" t="s">
        <v>55</v>
      </c>
      <c r="E214" s="7" t="s">
        <v>38</v>
      </c>
      <c r="F214" s="7" t="s">
        <v>363</v>
      </c>
      <c r="G214" s="7">
        <v>2021</v>
      </c>
      <c r="H214" s="7" t="str">
        <f>CONCATENATE("14240893728")</f>
        <v>14240893728</v>
      </c>
      <c r="I214" s="7" t="s">
        <v>30</v>
      </c>
      <c r="J214" s="7" t="s">
        <v>31</v>
      </c>
      <c r="K214" s="7" t="str">
        <f>CONCATENATE("")</f>
        <v/>
      </c>
      <c r="L214" s="7" t="str">
        <f>CONCATENATE("11 11.1 4b")</f>
        <v>11 11.1 4b</v>
      </c>
      <c r="M214" s="7" t="str">
        <f>CONCATENATE("00600040414")</f>
        <v>00600040414</v>
      </c>
      <c r="N214" s="7" t="s">
        <v>136</v>
      </c>
      <c r="O214" s="7" t="s">
        <v>349</v>
      </c>
      <c r="P214" s="8">
        <v>44540</v>
      </c>
      <c r="Q214" s="7" t="s">
        <v>32</v>
      </c>
      <c r="R214" s="7" t="s">
        <v>33</v>
      </c>
      <c r="S214" s="7" t="s">
        <v>34</v>
      </c>
      <c r="T214" s="7"/>
      <c r="U214" s="7" t="s">
        <v>35</v>
      </c>
      <c r="V214" s="7">
        <v>24.4</v>
      </c>
      <c r="W214" s="7">
        <v>10.52</v>
      </c>
      <c r="X214" s="7">
        <v>9.7200000000000006</v>
      </c>
      <c r="Y214" s="7">
        <v>0</v>
      </c>
      <c r="Z214" s="7">
        <v>4.16</v>
      </c>
    </row>
    <row r="215" spans="1:26" x14ac:dyDescent="0.35">
      <c r="A215" s="7" t="s">
        <v>27</v>
      </c>
      <c r="B215" s="7" t="s">
        <v>43</v>
      </c>
      <c r="C215" s="7" t="s">
        <v>50</v>
      </c>
      <c r="D215" s="7" t="s">
        <v>55</v>
      </c>
      <c r="E215" s="7" t="s">
        <v>49</v>
      </c>
      <c r="F215" s="7" t="s">
        <v>232</v>
      </c>
      <c r="G215" s="7">
        <v>2021</v>
      </c>
      <c r="H215" s="7" t="str">
        <f>CONCATENATE("14241208553")</f>
        <v>14241208553</v>
      </c>
      <c r="I215" s="7" t="s">
        <v>30</v>
      </c>
      <c r="J215" s="7" t="s">
        <v>31</v>
      </c>
      <c r="K215" s="7" t="str">
        <f>CONCATENATE("")</f>
        <v/>
      </c>
      <c r="L215" s="7" t="str">
        <f>CONCATENATE("11 11.2 4b")</f>
        <v>11 11.2 4b</v>
      </c>
      <c r="M215" s="7" t="str">
        <f>CONCATENATE("RNGRCR80D28G453T")</f>
        <v>RNGRCR80D28G453T</v>
      </c>
      <c r="N215" s="7" t="s">
        <v>364</v>
      </c>
      <c r="O215" s="7" t="s">
        <v>349</v>
      </c>
      <c r="P215" s="8">
        <v>44540</v>
      </c>
      <c r="Q215" s="7" t="s">
        <v>32</v>
      </c>
      <c r="R215" s="7" t="s">
        <v>33</v>
      </c>
      <c r="S215" s="7" t="s">
        <v>34</v>
      </c>
      <c r="T215" s="7"/>
      <c r="U215" s="7" t="s">
        <v>35</v>
      </c>
      <c r="V215" s="9">
        <v>6453.45</v>
      </c>
      <c r="W215" s="9">
        <v>2782.73</v>
      </c>
      <c r="X215" s="9">
        <v>2569.7600000000002</v>
      </c>
      <c r="Y215" s="7">
        <v>0</v>
      </c>
      <c r="Z215" s="9">
        <v>1100.96</v>
      </c>
    </row>
    <row r="216" spans="1:26" x14ac:dyDescent="0.35">
      <c r="A216" s="7" t="s">
        <v>27</v>
      </c>
      <c r="B216" s="7" t="s">
        <v>43</v>
      </c>
      <c r="C216" s="7" t="s">
        <v>50</v>
      </c>
      <c r="D216" s="7" t="s">
        <v>55</v>
      </c>
      <c r="E216" s="7" t="s">
        <v>36</v>
      </c>
      <c r="F216" s="7" t="s">
        <v>226</v>
      </c>
      <c r="G216" s="7">
        <v>2021</v>
      </c>
      <c r="H216" s="7" t="str">
        <f>CONCATENATE("14241335778")</f>
        <v>14241335778</v>
      </c>
      <c r="I216" s="7" t="s">
        <v>30</v>
      </c>
      <c r="J216" s="7" t="s">
        <v>31</v>
      </c>
      <c r="K216" s="7" t="str">
        <f>CONCATENATE("")</f>
        <v/>
      </c>
      <c r="L216" s="7" t="str">
        <f>CONCATENATE("11 11.2 4b")</f>
        <v>11 11.2 4b</v>
      </c>
      <c r="M216" s="7" t="str">
        <f>CONCATENATE("NCLSRA68R02G479B")</f>
        <v>NCLSRA68R02G479B</v>
      </c>
      <c r="N216" s="7" t="s">
        <v>365</v>
      </c>
      <c r="O216" s="7" t="s">
        <v>349</v>
      </c>
      <c r="P216" s="8">
        <v>44540</v>
      </c>
      <c r="Q216" s="7" t="s">
        <v>32</v>
      </c>
      <c r="R216" s="7" t="s">
        <v>33</v>
      </c>
      <c r="S216" s="7" t="s">
        <v>34</v>
      </c>
      <c r="T216" s="7"/>
      <c r="U216" s="7" t="s">
        <v>35</v>
      </c>
      <c r="V216" s="7">
        <v>293.10000000000002</v>
      </c>
      <c r="W216" s="7">
        <v>126.38</v>
      </c>
      <c r="X216" s="7">
        <v>116.71</v>
      </c>
      <c r="Y216" s="7">
        <v>0</v>
      </c>
      <c r="Z216" s="7">
        <v>50.01</v>
      </c>
    </row>
    <row r="217" spans="1:26" x14ac:dyDescent="0.35">
      <c r="A217" s="7" t="s">
        <v>27</v>
      </c>
      <c r="B217" s="7" t="s">
        <v>43</v>
      </c>
      <c r="C217" s="7" t="s">
        <v>50</v>
      </c>
      <c r="D217" s="7" t="s">
        <v>55</v>
      </c>
      <c r="E217" s="7" t="s">
        <v>29</v>
      </c>
      <c r="F217" s="7" t="s">
        <v>56</v>
      </c>
      <c r="G217" s="7">
        <v>2021</v>
      </c>
      <c r="H217" s="7" t="str">
        <f>CONCATENATE("14240899634")</f>
        <v>14240899634</v>
      </c>
      <c r="I217" s="7" t="s">
        <v>30</v>
      </c>
      <c r="J217" s="7" t="s">
        <v>31</v>
      </c>
      <c r="K217" s="7" t="str">
        <f>CONCATENATE("")</f>
        <v/>
      </c>
      <c r="L217" s="7" t="str">
        <f>CONCATENATE("11 11.2 4b")</f>
        <v>11 11.2 4b</v>
      </c>
      <c r="M217" s="7" t="str">
        <f>CONCATENATE("CCCPLA67R27D488P")</f>
        <v>CCCPLA67R27D488P</v>
      </c>
      <c r="N217" s="7" t="s">
        <v>366</v>
      </c>
      <c r="O217" s="7" t="s">
        <v>349</v>
      </c>
      <c r="P217" s="8">
        <v>44540</v>
      </c>
      <c r="Q217" s="7" t="s">
        <v>32</v>
      </c>
      <c r="R217" s="7" t="s">
        <v>33</v>
      </c>
      <c r="S217" s="7" t="s">
        <v>34</v>
      </c>
      <c r="T217" s="7"/>
      <c r="U217" s="7" t="s">
        <v>35</v>
      </c>
      <c r="V217" s="9">
        <v>12468.29</v>
      </c>
      <c r="W217" s="9">
        <v>5376.33</v>
      </c>
      <c r="X217" s="9">
        <v>4964.87</v>
      </c>
      <c r="Y217" s="7">
        <v>0</v>
      </c>
      <c r="Z217" s="9">
        <v>2127.09</v>
      </c>
    </row>
    <row r="218" spans="1:26" x14ac:dyDescent="0.35">
      <c r="A218" s="7" t="s">
        <v>27</v>
      </c>
      <c r="B218" s="7" t="s">
        <v>43</v>
      </c>
      <c r="C218" s="7" t="s">
        <v>50</v>
      </c>
      <c r="D218" s="7" t="s">
        <v>55</v>
      </c>
      <c r="E218" s="7" t="s">
        <v>38</v>
      </c>
      <c r="F218" s="7" t="s">
        <v>78</v>
      </c>
      <c r="G218" s="7">
        <v>2021</v>
      </c>
      <c r="H218" s="7" t="str">
        <f>CONCATENATE("14240594235")</f>
        <v>14240594235</v>
      </c>
      <c r="I218" s="7" t="s">
        <v>30</v>
      </c>
      <c r="J218" s="7" t="s">
        <v>31</v>
      </c>
      <c r="K218" s="7" t="str">
        <f>CONCATENATE("")</f>
        <v/>
      </c>
      <c r="L218" s="7" t="str">
        <f>CONCATENATE("11 11.1 4b")</f>
        <v>11 11.1 4b</v>
      </c>
      <c r="M218" s="7" t="str">
        <f>CONCATENATE("GDCFBL66H60G479X")</f>
        <v>GDCFBL66H60G479X</v>
      </c>
      <c r="N218" s="7" t="s">
        <v>367</v>
      </c>
      <c r="O218" s="7" t="s">
        <v>351</v>
      </c>
      <c r="P218" s="8">
        <v>44543</v>
      </c>
      <c r="Q218" s="7" t="s">
        <v>32</v>
      </c>
      <c r="R218" s="7" t="s">
        <v>33</v>
      </c>
      <c r="S218" s="7" t="s">
        <v>34</v>
      </c>
      <c r="T218" s="7"/>
      <c r="U218" s="7" t="s">
        <v>35</v>
      </c>
      <c r="V218" s="7">
        <v>266.88</v>
      </c>
      <c r="W218" s="7">
        <v>115.08</v>
      </c>
      <c r="X218" s="7">
        <v>106.27</v>
      </c>
      <c r="Y218" s="7">
        <v>0</v>
      </c>
      <c r="Z218" s="7">
        <v>45.53</v>
      </c>
    </row>
    <row r="219" spans="1:26" x14ac:dyDescent="0.35">
      <c r="A219" s="7" t="s">
        <v>27</v>
      </c>
      <c r="B219" s="7" t="s">
        <v>43</v>
      </c>
      <c r="C219" s="7" t="s">
        <v>50</v>
      </c>
      <c r="D219" s="7" t="s">
        <v>55</v>
      </c>
      <c r="E219" s="7" t="s">
        <v>29</v>
      </c>
      <c r="F219" s="7" t="s">
        <v>368</v>
      </c>
      <c r="G219" s="7">
        <v>2021</v>
      </c>
      <c r="H219" s="7" t="str">
        <f>CONCATENATE("14240460858")</f>
        <v>14240460858</v>
      </c>
      <c r="I219" s="7" t="s">
        <v>30</v>
      </c>
      <c r="J219" s="7" t="s">
        <v>31</v>
      </c>
      <c r="K219" s="7" t="str">
        <f>CONCATENATE("")</f>
        <v/>
      </c>
      <c r="L219" s="7" t="str">
        <f>CONCATENATE("11 11.2 4b")</f>
        <v>11 11.2 4b</v>
      </c>
      <c r="M219" s="7" t="str">
        <f>CONCATENATE("BCCFNC73B05D488C")</f>
        <v>BCCFNC73B05D488C</v>
      </c>
      <c r="N219" s="7" t="s">
        <v>369</v>
      </c>
      <c r="O219" s="7" t="s">
        <v>351</v>
      </c>
      <c r="P219" s="8">
        <v>44543</v>
      </c>
      <c r="Q219" s="7" t="s">
        <v>32</v>
      </c>
      <c r="R219" s="7" t="s">
        <v>33</v>
      </c>
      <c r="S219" s="7" t="s">
        <v>34</v>
      </c>
      <c r="T219" s="7"/>
      <c r="U219" s="7" t="s">
        <v>35</v>
      </c>
      <c r="V219" s="7">
        <v>81.88</v>
      </c>
      <c r="W219" s="7">
        <v>35.31</v>
      </c>
      <c r="X219" s="7">
        <v>32.6</v>
      </c>
      <c r="Y219" s="7">
        <v>0</v>
      </c>
      <c r="Z219" s="7">
        <v>13.97</v>
      </c>
    </row>
    <row r="220" spans="1:26" x14ac:dyDescent="0.35">
      <c r="A220" s="7" t="s">
        <v>27</v>
      </c>
      <c r="B220" s="7" t="s">
        <v>43</v>
      </c>
      <c r="C220" s="7" t="s">
        <v>50</v>
      </c>
      <c r="D220" s="7" t="s">
        <v>55</v>
      </c>
      <c r="E220" s="7" t="s">
        <v>38</v>
      </c>
      <c r="F220" s="7" t="s">
        <v>178</v>
      </c>
      <c r="G220" s="7">
        <v>2021</v>
      </c>
      <c r="H220" s="7" t="str">
        <f>CONCATENATE("14241273946")</f>
        <v>14241273946</v>
      </c>
      <c r="I220" s="7" t="s">
        <v>30</v>
      </c>
      <c r="J220" s="7" t="s">
        <v>31</v>
      </c>
      <c r="K220" s="7" t="str">
        <f>CONCATENATE("")</f>
        <v/>
      </c>
      <c r="L220" s="7" t="str">
        <f>CONCATENATE("11 11.2 4b")</f>
        <v>11 11.2 4b</v>
      </c>
      <c r="M220" s="7" t="str">
        <f>CONCATENATE("CRDMNL97M21G916H")</f>
        <v>CRDMNL97M21G916H</v>
      </c>
      <c r="N220" s="7" t="s">
        <v>370</v>
      </c>
      <c r="O220" s="7" t="s">
        <v>351</v>
      </c>
      <c r="P220" s="8">
        <v>44543</v>
      </c>
      <c r="Q220" s="7" t="s">
        <v>32</v>
      </c>
      <c r="R220" s="7" t="s">
        <v>33</v>
      </c>
      <c r="S220" s="7" t="s">
        <v>34</v>
      </c>
      <c r="T220" s="7"/>
      <c r="U220" s="7" t="s">
        <v>35</v>
      </c>
      <c r="V220" s="9">
        <v>3116.85</v>
      </c>
      <c r="W220" s="9">
        <v>1343.99</v>
      </c>
      <c r="X220" s="9">
        <v>1241.1300000000001</v>
      </c>
      <c r="Y220" s="7">
        <v>0</v>
      </c>
      <c r="Z220" s="7">
        <v>531.73</v>
      </c>
    </row>
    <row r="221" spans="1:26" x14ac:dyDescent="0.35">
      <c r="A221" s="7" t="s">
        <v>27</v>
      </c>
      <c r="B221" s="7" t="s">
        <v>43</v>
      </c>
      <c r="C221" s="7" t="s">
        <v>50</v>
      </c>
      <c r="D221" s="7" t="s">
        <v>55</v>
      </c>
      <c r="E221" s="7" t="s">
        <v>41</v>
      </c>
      <c r="F221" s="7" t="s">
        <v>98</v>
      </c>
      <c r="G221" s="7">
        <v>2021</v>
      </c>
      <c r="H221" s="7" t="str">
        <f>CONCATENATE("14241129130")</f>
        <v>14241129130</v>
      </c>
      <c r="I221" s="7" t="s">
        <v>30</v>
      </c>
      <c r="J221" s="7" t="s">
        <v>31</v>
      </c>
      <c r="K221" s="7" t="str">
        <f>CONCATENATE("")</f>
        <v/>
      </c>
      <c r="L221" s="7" t="str">
        <f>CONCATENATE("11 11.2 4b")</f>
        <v>11 11.2 4b</v>
      </c>
      <c r="M221" s="7" t="str">
        <f>CONCATENATE("02746840418")</f>
        <v>02746840418</v>
      </c>
      <c r="N221" s="7" t="s">
        <v>371</v>
      </c>
      <c r="O221" s="7" t="s">
        <v>351</v>
      </c>
      <c r="P221" s="8">
        <v>44543</v>
      </c>
      <c r="Q221" s="7" t="s">
        <v>32</v>
      </c>
      <c r="R221" s="7" t="s">
        <v>33</v>
      </c>
      <c r="S221" s="7" t="s">
        <v>34</v>
      </c>
      <c r="T221" s="7"/>
      <c r="U221" s="7" t="s">
        <v>35</v>
      </c>
      <c r="V221" s="9">
        <v>2283.79</v>
      </c>
      <c r="W221" s="7">
        <v>984.77</v>
      </c>
      <c r="X221" s="7">
        <v>909.41</v>
      </c>
      <c r="Y221" s="7">
        <v>0</v>
      </c>
      <c r="Z221" s="7">
        <v>389.61</v>
      </c>
    </row>
    <row r="222" spans="1:26" x14ac:dyDescent="0.35">
      <c r="A222" s="7" t="s">
        <v>27</v>
      </c>
      <c r="B222" s="7" t="s">
        <v>43</v>
      </c>
      <c r="C222" s="7" t="s">
        <v>50</v>
      </c>
      <c r="D222" s="7" t="s">
        <v>55</v>
      </c>
      <c r="E222" s="7" t="s">
        <v>41</v>
      </c>
      <c r="F222" s="7" t="s">
        <v>98</v>
      </c>
      <c r="G222" s="7">
        <v>2021</v>
      </c>
      <c r="H222" s="7" t="str">
        <f>CONCATENATE("14240574559")</f>
        <v>14240574559</v>
      </c>
      <c r="I222" s="7" t="s">
        <v>30</v>
      </c>
      <c r="J222" s="7" t="s">
        <v>31</v>
      </c>
      <c r="K222" s="7" t="str">
        <f>CONCATENATE("")</f>
        <v/>
      </c>
      <c r="L222" s="7" t="str">
        <f>CONCATENATE("11 11.2 4b")</f>
        <v>11 11.2 4b</v>
      </c>
      <c r="M222" s="7" t="str">
        <f>CONCATENATE("SLTMRA60M31I459G")</f>
        <v>SLTMRA60M31I459G</v>
      </c>
      <c r="N222" s="7" t="s">
        <v>372</v>
      </c>
      <c r="O222" s="7" t="s">
        <v>351</v>
      </c>
      <c r="P222" s="8">
        <v>44543</v>
      </c>
      <c r="Q222" s="7" t="s">
        <v>32</v>
      </c>
      <c r="R222" s="7" t="s">
        <v>33</v>
      </c>
      <c r="S222" s="7" t="s">
        <v>34</v>
      </c>
      <c r="T222" s="7"/>
      <c r="U222" s="7" t="s">
        <v>35</v>
      </c>
      <c r="V222" s="9">
        <v>6954.91</v>
      </c>
      <c r="W222" s="9">
        <v>2998.96</v>
      </c>
      <c r="X222" s="9">
        <v>2769.45</v>
      </c>
      <c r="Y222" s="7">
        <v>0</v>
      </c>
      <c r="Z222" s="9">
        <v>1186.5</v>
      </c>
    </row>
    <row r="223" spans="1:26" ht="17.5" x14ac:dyDescent="0.35">
      <c r="A223" s="7" t="s">
        <v>27</v>
      </c>
      <c r="B223" s="7" t="s">
        <v>43</v>
      </c>
      <c r="C223" s="7" t="s">
        <v>50</v>
      </c>
      <c r="D223" s="7" t="s">
        <v>59</v>
      </c>
      <c r="E223" s="7" t="s">
        <v>42</v>
      </c>
      <c r="F223" s="7" t="s">
        <v>42</v>
      </c>
      <c r="G223" s="7">
        <v>2021</v>
      </c>
      <c r="H223" s="7" t="str">
        <f>CONCATENATE("14240733171")</f>
        <v>14240733171</v>
      </c>
      <c r="I223" s="7" t="s">
        <v>30</v>
      </c>
      <c r="J223" s="7" t="s">
        <v>31</v>
      </c>
      <c r="K223" s="7" t="str">
        <f>CONCATENATE("")</f>
        <v/>
      </c>
      <c r="L223" s="7" t="str">
        <f>CONCATENATE("11 11.2 4b")</f>
        <v>11 11.2 4b</v>
      </c>
      <c r="M223" s="7" t="str">
        <f>CONCATENATE("01511110445")</f>
        <v>01511110445</v>
      </c>
      <c r="N223" s="7" t="s">
        <v>265</v>
      </c>
      <c r="O223" s="7" t="s">
        <v>373</v>
      </c>
      <c r="P223" s="8">
        <v>44544</v>
      </c>
      <c r="Q223" s="7" t="s">
        <v>32</v>
      </c>
      <c r="R223" s="7" t="s">
        <v>33</v>
      </c>
      <c r="S223" s="7" t="s">
        <v>34</v>
      </c>
      <c r="T223" s="7"/>
      <c r="U223" s="7" t="s">
        <v>35</v>
      </c>
      <c r="V223" s="9">
        <v>112971.13</v>
      </c>
      <c r="W223" s="9">
        <v>48713.15</v>
      </c>
      <c r="X223" s="9">
        <v>44985.1</v>
      </c>
      <c r="Y223" s="7">
        <v>0</v>
      </c>
      <c r="Z223" s="9">
        <v>19272.88</v>
      </c>
    </row>
    <row r="224" spans="1:26" x14ac:dyDescent="0.35">
      <c r="A224" s="7" t="s">
        <v>27</v>
      </c>
      <c r="B224" s="7" t="s">
        <v>43</v>
      </c>
      <c r="C224" s="7" t="s">
        <v>50</v>
      </c>
      <c r="D224" s="7" t="s">
        <v>59</v>
      </c>
      <c r="E224" s="7" t="s">
        <v>36</v>
      </c>
      <c r="F224" s="7" t="s">
        <v>202</v>
      </c>
      <c r="G224" s="7">
        <v>2021</v>
      </c>
      <c r="H224" s="7" t="str">
        <f>CONCATENATE("14240286048")</f>
        <v>14240286048</v>
      </c>
      <c r="I224" s="7" t="s">
        <v>30</v>
      </c>
      <c r="J224" s="7" t="s">
        <v>31</v>
      </c>
      <c r="K224" s="7" t="str">
        <f>CONCATENATE("")</f>
        <v/>
      </c>
      <c r="L224" s="7" t="str">
        <f>CONCATENATE("11 11.2 4b")</f>
        <v>11 11.2 4b</v>
      </c>
      <c r="M224" s="7" t="str">
        <f>CONCATENATE("LRARDN58T03D542W")</f>
        <v>LRARDN58T03D542W</v>
      </c>
      <c r="N224" s="7" t="s">
        <v>374</v>
      </c>
      <c r="O224" s="7" t="s">
        <v>373</v>
      </c>
      <c r="P224" s="8">
        <v>44544</v>
      </c>
      <c r="Q224" s="7" t="s">
        <v>32</v>
      </c>
      <c r="R224" s="7" t="s">
        <v>33</v>
      </c>
      <c r="S224" s="7" t="s">
        <v>34</v>
      </c>
      <c r="T224" s="7"/>
      <c r="U224" s="7" t="s">
        <v>35</v>
      </c>
      <c r="V224" s="7">
        <v>544.02</v>
      </c>
      <c r="W224" s="7">
        <v>234.58</v>
      </c>
      <c r="X224" s="7">
        <v>216.63</v>
      </c>
      <c r="Y224" s="7">
        <v>0</v>
      </c>
      <c r="Z224" s="7">
        <v>92.81</v>
      </c>
    </row>
    <row r="225" spans="1:26" x14ac:dyDescent="0.35">
      <c r="A225" s="7" t="s">
        <v>27</v>
      </c>
      <c r="B225" s="7" t="s">
        <v>43</v>
      </c>
      <c r="C225" s="7" t="s">
        <v>50</v>
      </c>
      <c r="D225" s="7" t="s">
        <v>59</v>
      </c>
      <c r="E225" s="7" t="s">
        <v>29</v>
      </c>
      <c r="F225" s="7" t="s">
        <v>164</v>
      </c>
      <c r="G225" s="7">
        <v>2017</v>
      </c>
      <c r="H225" s="7" t="str">
        <f>CONCATENATE("74241460034")</f>
        <v>74241460034</v>
      </c>
      <c r="I225" s="7" t="s">
        <v>30</v>
      </c>
      <c r="J225" s="7" t="s">
        <v>31</v>
      </c>
      <c r="K225" s="7" t="str">
        <f>CONCATENATE("")</f>
        <v/>
      </c>
      <c r="L225" s="7" t="str">
        <f>CONCATENATE("11 11.2 4b")</f>
        <v>11 11.2 4b</v>
      </c>
      <c r="M225" s="7" t="str">
        <f>CONCATENATE("MRRPVN35P09F501F")</f>
        <v>MRRPVN35P09F501F</v>
      </c>
      <c r="N225" s="7" t="s">
        <v>375</v>
      </c>
      <c r="O225" s="7" t="s">
        <v>373</v>
      </c>
      <c r="P225" s="8">
        <v>44544</v>
      </c>
      <c r="Q225" s="7" t="s">
        <v>32</v>
      </c>
      <c r="R225" s="7" t="s">
        <v>33</v>
      </c>
      <c r="S225" s="7" t="s">
        <v>34</v>
      </c>
      <c r="T225" s="7"/>
      <c r="U225" s="7" t="s">
        <v>35</v>
      </c>
      <c r="V225" s="9">
        <v>4331.75</v>
      </c>
      <c r="W225" s="9">
        <v>1867.85</v>
      </c>
      <c r="X225" s="9">
        <v>1724.9</v>
      </c>
      <c r="Y225" s="7">
        <v>0</v>
      </c>
      <c r="Z225" s="7">
        <v>739</v>
      </c>
    </row>
    <row r="226" spans="1:26" x14ac:dyDescent="0.35">
      <c r="A226" s="7" t="s">
        <v>27</v>
      </c>
      <c r="B226" s="7" t="s">
        <v>43</v>
      </c>
      <c r="C226" s="7" t="s">
        <v>50</v>
      </c>
      <c r="D226" s="7" t="s">
        <v>59</v>
      </c>
      <c r="E226" s="7" t="s">
        <v>29</v>
      </c>
      <c r="F226" s="7" t="s">
        <v>164</v>
      </c>
      <c r="G226" s="7">
        <v>2018</v>
      </c>
      <c r="H226" s="7" t="str">
        <f>CONCATENATE("84241680705")</f>
        <v>84241680705</v>
      </c>
      <c r="I226" s="7" t="s">
        <v>30</v>
      </c>
      <c r="J226" s="7" t="s">
        <v>31</v>
      </c>
      <c r="K226" s="7" t="str">
        <f>CONCATENATE("")</f>
        <v/>
      </c>
      <c r="L226" s="7" t="str">
        <f>CONCATENATE("11 11.2 4b")</f>
        <v>11 11.2 4b</v>
      </c>
      <c r="M226" s="7" t="str">
        <f>CONCATENATE("VRGMRS36P52B727N")</f>
        <v>VRGMRS36P52B727N</v>
      </c>
      <c r="N226" s="7" t="s">
        <v>376</v>
      </c>
      <c r="O226" s="7" t="s">
        <v>373</v>
      </c>
      <c r="P226" s="8">
        <v>44544</v>
      </c>
      <c r="Q226" s="7" t="s">
        <v>32</v>
      </c>
      <c r="R226" s="7" t="s">
        <v>33</v>
      </c>
      <c r="S226" s="7" t="s">
        <v>34</v>
      </c>
      <c r="T226" s="7"/>
      <c r="U226" s="7" t="s">
        <v>35</v>
      </c>
      <c r="V226" s="9">
        <v>3799.5</v>
      </c>
      <c r="W226" s="9">
        <v>1638.34</v>
      </c>
      <c r="X226" s="9">
        <v>1512.96</v>
      </c>
      <c r="Y226" s="7">
        <v>0</v>
      </c>
      <c r="Z226" s="7">
        <v>648.20000000000005</v>
      </c>
    </row>
    <row r="227" spans="1:26" x14ac:dyDescent="0.35">
      <c r="A227" s="7" t="s">
        <v>27</v>
      </c>
      <c r="B227" s="7" t="s">
        <v>43</v>
      </c>
      <c r="C227" s="7" t="s">
        <v>50</v>
      </c>
      <c r="D227" s="7" t="s">
        <v>59</v>
      </c>
      <c r="E227" s="7" t="s">
        <v>39</v>
      </c>
      <c r="F227" s="7" t="s">
        <v>377</v>
      </c>
      <c r="G227" s="7">
        <v>2021</v>
      </c>
      <c r="H227" s="7" t="str">
        <f>CONCATENATE("14241345736")</f>
        <v>14241345736</v>
      </c>
      <c r="I227" s="7" t="s">
        <v>30</v>
      </c>
      <c r="J227" s="7" t="s">
        <v>31</v>
      </c>
      <c r="K227" s="7" t="str">
        <f>CONCATENATE("")</f>
        <v/>
      </c>
      <c r="L227" s="7" t="str">
        <f>CONCATENATE("11 11.1 4b")</f>
        <v>11 11.1 4b</v>
      </c>
      <c r="M227" s="7" t="str">
        <f>CONCATENATE("02408020440")</f>
        <v>02408020440</v>
      </c>
      <c r="N227" s="7" t="s">
        <v>378</v>
      </c>
      <c r="O227" s="7" t="s">
        <v>373</v>
      </c>
      <c r="P227" s="8">
        <v>44544</v>
      </c>
      <c r="Q227" s="7" t="s">
        <v>32</v>
      </c>
      <c r="R227" s="7" t="s">
        <v>33</v>
      </c>
      <c r="S227" s="7" t="s">
        <v>34</v>
      </c>
      <c r="T227" s="7"/>
      <c r="U227" s="7" t="s">
        <v>35</v>
      </c>
      <c r="V227" s="7">
        <v>28.97</v>
      </c>
      <c r="W227" s="7">
        <v>12.49</v>
      </c>
      <c r="X227" s="7">
        <v>11.54</v>
      </c>
      <c r="Y227" s="7">
        <v>0</v>
      </c>
      <c r="Z227" s="7">
        <v>4.9400000000000004</v>
      </c>
    </row>
    <row r="228" spans="1:26" x14ac:dyDescent="0.35">
      <c r="A228" s="7" t="s">
        <v>27</v>
      </c>
      <c r="B228" s="7" t="s">
        <v>43</v>
      </c>
      <c r="C228" s="7" t="s">
        <v>50</v>
      </c>
      <c r="D228" s="7" t="s">
        <v>55</v>
      </c>
      <c r="E228" s="7" t="s">
        <v>38</v>
      </c>
      <c r="F228" s="7" t="s">
        <v>78</v>
      </c>
      <c r="G228" s="7">
        <v>2021</v>
      </c>
      <c r="H228" s="7" t="str">
        <f>CONCATENATE("14211196093")</f>
        <v>14211196093</v>
      </c>
      <c r="I228" s="7" t="s">
        <v>30</v>
      </c>
      <c r="J228" s="7" t="s">
        <v>31</v>
      </c>
      <c r="K228" s="7" t="str">
        <f>CONCATENATE("")</f>
        <v/>
      </c>
      <c r="L228" s="7" t="str">
        <f>CONCATENATE("12 12.1 4a")</f>
        <v>12 12.1 4a</v>
      </c>
      <c r="M228" s="7" t="str">
        <f>CONCATENATE("00170370415")</f>
        <v>00170370415</v>
      </c>
      <c r="N228" s="7" t="s">
        <v>291</v>
      </c>
      <c r="O228" s="7" t="s">
        <v>379</v>
      </c>
      <c r="P228" s="8">
        <v>44545</v>
      </c>
      <c r="Q228" s="7" t="s">
        <v>32</v>
      </c>
      <c r="R228" s="7" t="s">
        <v>33</v>
      </c>
      <c r="S228" s="7" t="s">
        <v>34</v>
      </c>
      <c r="T228" s="7"/>
      <c r="U228" s="7" t="s">
        <v>35</v>
      </c>
      <c r="V228" s="9">
        <v>71616.31</v>
      </c>
      <c r="W228" s="9">
        <v>30880.95</v>
      </c>
      <c r="X228" s="9">
        <v>28517.61</v>
      </c>
      <c r="Y228" s="7">
        <v>0</v>
      </c>
      <c r="Z228" s="9">
        <v>12217.75</v>
      </c>
    </row>
    <row r="229" spans="1:26" x14ac:dyDescent="0.35">
      <c r="A229" s="7" t="s">
        <v>27</v>
      </c>
      <c r="B229" s="7" t="s">
        <v>43</v>
      </c>
      <c r="C229" s="7" t="s">
        <v>50</v>
      </c>
      <c r="D229" s="7" t="s">
        <v>55</v>
      </c>
      <c r="E229" s="7" t="s">
        <v>38</v>
      </c>
      <c r="F229" s="7" t="s">
        <v>78</v>
      </c>
      <c r="G229" s="7">
        <v>2021</v>
      </c>
      <c r="H229" s="7" t="str">
        <f>CONCATENATE("14210859154")</f>
        <v>14210859154</v>
      </c>
      <c r="I229" s="7" t="s">
        <v>30</v>
      </c>
      <c r="J229" s="7" t="s">
        <v>31</v>
      </c>
      <c r="K229" s="7" t="str">
        <f>CONCATENATE("")</f>
        <v/>
      </c>
      <c r="L229" s="7" t="str">
        <f>CONCATENATE("12 12.1 4a")</f>
        <v>12 12.1 4a</v>
      </c>
      <c r="M229" s="7" t="str">
        <f>CONCATENATE("82004090419")</f>
        <v>82004090419</v>
      </c>
      <c r="N229" s="7" t="s">
        <v>255</v>
      </c>
      <c r="O229" s="7" t="s">
        <v>379</v>
      </c>
      <c r="P229" s="8">
        <v>44545</v>
      </c>
      <c r="Q229" s="7" t="s">
        <v>32</v>
      </c>
      <c r="R229" s="7" t="s">
        <v>33</v>
      </c>
      <c r="S229" s="7" t="s">
        <v>34</v>
      </c>
      <c r="T229" s="7"/>
      <c r="U229" s="7" t="s">
        <v>35</v>
      </c>
      <c r="V229" s="9">
        <v>42363.86</v>
      </c>
      <c r="W229" s="9">
        <v>18267.3</v>
      </c>
      <c r="X229" s="9">
        <v>16869.29</v>
      </c>
      <c r="Y229" s="7">
        <v>0</v>
      </c>
      <c r="Z229" s="9">
        <v>7227.27</v>
      </c>
    </row>
    <row r="230" spans="1:26" x14ac:dyDescent="0.35">
      <c r="A230" s="7" t="s">
        <v>27</v>
      </c>
      <c r="B230" s="7" t="s">
        <v>28</v>
      </c>
      <c r="C230" s="7" t="s">
        <v>50</v>
      </c>
      <c r="D230" s="7" t="s">
        <v>50</v>
      </c>
      <c r="E230" s="7" t="s">
        <v>42</v>
      </c>
      <c r="F230" s="7" t="s">
        <v>42</v>
      </c>
      <c r="G230" s="7">
        <v>2017</v>
      </c>
      <c r="H230" s="7" t="str">
        <f>CONCATENATE("14270341168")</f>
        <v>14270341168</v>
      </c>
      <c r="I230" s="7" t="s">
        <v>30</v>
      </c>
      <c r="J230" s="7" t="s">
        <v>31</v>
      </c>
      <c r="K230" s="7" t="str">
        <f>CONCATENATE("")</f>
        <v/>
      </c>
      <c r="L230" s="7" t="str">
        <f>CONCATENATE("19 19.2 6b")</f>
        <v>19 19.2 6b</v>
      </c>
      <c r="M230" s="7" t="str">
        <f>CONCATENATE("00363500448")</f>
        <v>00363500448</v>
      </c>
      <c r="N230" s="7" t="s">
        <v>109</v>
      </c>
      <c r="O230" s="7" t="s">
        <v>380</v>
      </c>
      <c r="P230" s="8">
        <v>44540</v>
      </c>
      <c r="Q230" s="7" t="s">
        <v>32</v>
      </c>
      <c r="R230" s="7" t="s">
        <v>46</v>
      </c>
      <c r="S230" s="7" t="s">
        <v>34</v>
      </c>
      <c r="T230" s="7"/>
      <c r="U230" s="7" t="s">
        <v>35</v>
      </c>
      <c r="V230" s="9">
        <v>26658.35</v>
      </c>
      <c r="W230" s="9">
        <v>11495.08</v>
      </c>
      <c r="X230" s="9">
        <v>10615.35</v>
      </c>
      <c r="Y230" s="7">
        <v>0</v>
      </c>
      <c r="Z230" s="9">
        <v>4547.92</v>
      </c>
    </row>
    <row r="231" spans="1:26" x14ac:dyDescent="0.35">
      <c r="A231" s="7" t="s">
        <v>27</v>
      </c>
      <c r="B231" s="7" t="s">
        <v>28</v>
      </c>
      <c r="C231" s="7" t="s">
        <v>50</v>
      </c>
      <c r="D231" s="7" t="s">
        <v>50</v>
      </c>
      <c r="E231" s="7" t="s">
        <v>42</v>
      </c>
      <c r="F231" s="7" t="s">
        <v>42</v>
      </c>
      <c r="G231" s="7">
        <v>2017</v>
      </c>
      <c r="H231" s="7" t="str">
        <f>CONCATENATE("14270341184")</f>
        <v>14270341184</v>
      </c>
      <c r="I231" s="7" t="s">
        <v>30</v>
      </c>
      <c r="J231" s="7" t="s">
        <v>31</v>
      </c>
      <c r="K231" s="7" t="str">
        <f>CONCATENATE("")</f>
        <v/>
      </c>
      <c r="L231" s="7" t="str">
        <f>CONCATENATE("19 19.2 6b")</f>
        <v>19 19.2 6b</v>
      </c>
      <c r="M231" s="7" t="str">
        <f>CONCATENATE("00377760442")</f>
        <v>00377760442</v>
      </c>
      <c r="N231" s="7" t="s">
        <v>381</v>
      </c>
      <c r="O231" s="7" t="s">
        <v>380</v>
      </c>
      <c r="P231" s="8">
        <v>44540</v>
      </c>
      <c r="Q231" s="7" t="s">
        <v>32</v>
      </c>
      <c r="R231" s="7" t="s">
        <v>46</v>
      </c>
      <c r="S231" s="7" t="s">
        <v>34</v>
      </c>
      <c r="T231" s="7"/>
      <c r="U231" s="7" t="s">
        <v>35</v>
      </c>
      <c r="V231" s="9">
        <v>27000</v>
      </c>
      <c r="W231" s="9">
        <v>11642.4</v>
      </c>
      <c r="X231" s="9">
        <v>10751.4</v>
      </c>
      <c r="Y231" s="7">
        <v>0</v>
      </c>
      <c r="Z231" s="9">
        <v>4606.2</v>
      </c>
    </row>
    <row r="232" spans="1:26" x14ac:dyDescent="0.35">
      <c r="A232" s="7" t="s">
        <v>27</v>
      </c>
      <c r="B232" s="7" t="s">
        <v>28</v>
      </c>
      <c r="C232" s="7" t="s">
        <v>50</v>
      </c>
      <c r="D232" s="7" t="s">
        <v>50</v>
      </c>
      <c r="E232" s="7" t="s">
        <v>44</v>
      </c>
      <c r="F232" s="7" t="s">
        <v>82</v>
      </c>
      <c r="G232" s="7">
        <v>2017</v>
      </c>
      <c r="H232" s="7" t="str">
        <f>CONCATENATE("14270341176")</f>
        <v>14270341176</v>
      </c>
      <c r="I232" s="7" t="s">
        <v>30</v>
      </c>
      <c r="J232" s="7" t="s">
        <v>31</v>
      </c>
      <c r="K232" s="7" t="str">
        <f>CONCATENATE("")</f>
        <v/>
      </c>
      <c r="L232" s="7" t="str">
        <f>CONCATENATE("19 19.2 6b")</f>
        <v>19 19.2 6b</v>
      </c>
      <c r="M232" s="7" t="str">
        <f>CONCATENATE("00136120441")</f>
        <v>00136120441</v>
      </c>
      <c r="N232" s="7" t="s">
        <v>382</v>
      </c>
      <c r="O232" s="7" t="s">
        <v>380</v>
      </c>
      <c r="P232" s="8">
        <v>44540</v>
      </c>
      <c r="Q232" s="7" t="s">
        <v>32</v>
      </c>
      <c r="R232" s="7" t="s">
        <v>46</v>
      </c>
      <c r="S232" s="7" t="s">
        <v>34</v>
      </c>
      <c r="T232" s="7"/>
      <c r="U232" s="7" t="s">
        <v>35</v>
      </c>
      <c r="V232" s="9">
        <v>26591.58</v>
      </c>
      <c r="W232" s="9">
        <v>11466.29</v>
      </c>
      <c r="X232" s="9">
        <v>10588.77</v>
      </c>
      <c r="Y232" s="7">
        <v>0</v>
      </c>
      <c r="Z232" s="9">
        <v>4536.5200000000004</v>
      </c>
    </row>
    <row r="233" spans="1:26" x14ac:dyDescent="0.35">
      <c r="A233" s="7" t="s">
        <v>27</v>
      </c>
      <c r="B233" s="7" t="s">
        <v>28</v>
      </c>
      <c r="C233" s="7" t="s">
        <v>50</v>
      </c>
      <c r="D233" s="7" t="s">
        <v>50</v>
      </c>
      <c r="E233" s="7" t="s">
        <v>42</v>
      </c>
      <c r="F233" s="7" t="s">
        <v>42</v>
      </c>
      <c r="G233" s="7">
        <v>2017</v>
      </c>
      <c r="H233" s="7" t="str">
        <f>CONCATENATE("14270341192")</f>
        <v>14270341192</v>
      </c>
      <c r="I233" s="7" t="s">
        <v>30</v>
      </c>
      <c r="J233" s="7" t="s">
        <v>31</v>
      </c>
      <c r="K233" s="7" t="str">
        <f>CONCATENATE("")</f>
        <v/>
      </c>
      <c r="L233" s="7" t="str">
        <f>CONCATENATE("19 19.2 6b")</f>
        <v>19 19.2 6b</v>
      </c>
      <c r="M233" s="7" t="str">
        <f>CONCATENATE("00358230449")</f>
        <v>00358230449</v>
      </c>
      <c r="N233" s="7" t="s">
        <v>383</v>
      </c>
      <c r="O233" s="7" t="s">
        <v>380</v>
      </c>
      <c r="P233" s="8">
        <v>44540</v>
      </c>
      <c r="Q233" s="7" t="s">
        <v>32</v>
      </c>
      <c r="R233" s="7" t="s">
        <v>46</v>
      </c>
      <c r="S233" s="7" t="s">
        <v>34</v>
      </c>
      <c r="T233" s="7"/>
      <c r="U233" s="7" t="s">
        <v>35</v>
      </c>
      <c r="V233" s="9">
        <v>26999.759999999998</v>
      </c>
      <c r="W233" s="9">
        <v>11642.3</v>
      </c>
      <c r="X233" s="9">
        <v>10751.3</v>
      </c>
      <c r="Y233" s="7">
        <v>0</v>
      </c>
      <c r="Z233" s="9">
        <v>4606.16</v>
      </c>
    </row>
    <row r="234" spans="1:26" x14ac:dyDescent="0.35">
      <c r="A234" s="7" t="s">
        <v>27</v>
      </c>
      <c r="B234" s="7" t="s">
        <v>43</v>
      </c>
      <c r="C234" s="7" t="s">
        <v>50</v>
      </c>
      <c r="D234" s="7" t="s">
        <v>95</v>
      </c>
      <c r="E234" s="7" t="s">
        <v>39</v>
      </c>
      <c r="F234" s="7" t="s">
        <v>155</v>
      </c>
      <c r="G234" s="7">
        <v>2018</v>
      </c>
      <c r="H234" s="7" t="str">
        <f>CONCATENATE("84240959209")</f>
        <v>84240959209</v>
      </c>
      <c r="I234" s="7" t="s">
        <v>30</v>
      </c>
      <c r="J234" s="7" t="s">
        <v>31</v>
      </c>
      <c r="K234" s="7" t="str">
        <f>CONCATENATE("")</f>
        <v/>
      </c>
      <c r="L234" s="7" t="str">
        <f>CONCATENATE("10 10.1 4a")</f>
        <v>10 10.1 4a</v>
      </c>
      <c r="M234" s="7" t="str">
        <f>CONCATENATE("SBBMTT98H09G478K")</f>
        <v>SBBMTT98H09G478K</v>
      </c>
      <c r="N234" s="7" t="s">
        <v>384</v>
      </c>
      <c r="O234" s="7" t="s">
        <v>385</v>
      </c>
      <c r="P234" s="8">
        <v>44546</v>
      </c>
      <c r="Q234" s="7" t="s">
        <v>32</v>
      </c>
      <c r="R234" s="7" t="s">
        <v>33</v>
      </c>
      <c r="S234" s="7" t="s">
        <v>34</v>
      </c>
      <c r="T234" s="7"/>
      <c r="U234" s="7" t="s">
        <v>35</v>
      </c>
      <c r="V234" s="9">
        <v>4555.63</v>
      </c>
      <c r="W234" s="9">
        <v>1964.39</v>
      </c>
      <c r="X234" s="9">
        <v>1814.05</v>
      </c>
      <c r="Y234" s="7">
        <v>0</v>
      </c>
      <c r="Z234" s="7">
        <v>777.19</v>
      </c>
    </row>
    <row r="235" spans="1:26" x14ac:dyDescent="0.35">
      <c r="A235" s="7" t="s">
        <v>27</v>
      </c>
      <c r="B235" s="7" t="s">
        <v>43</v>
      </c>
      <c r="C235" s="7" t="s">
        <v>50</v>
      </c>
      <c r="D235" s="7" t="s">
        <v>95</v>
      </c>
      <c r="E235" s="7" t="s">
        <v>39</v>
      </c>
      <c r="F235" s="7" t="s">
        <v>386</v>
      </c>
      <c r="G235" s="7">
        <v>2021</v>
      </c>
      <c r="H235" s="7" t="str">
        <f>CONCATENATE("14240286741")</f>
        <v>14240286741</v>
      </c>
      <c r="I235" s="7" t="s">
        <v>30</v>
      </c>
      <c r="J235" s="7" t="s">
        <v>31</v>
      </c>
      <c r="K235" s="7" t="str">
        <f>CONCATENATE("")</f>
        <v/>
      </c>
      <c r="L235" s="7" t="str">
        <f>CONCATENATE("10 10.1 4a")</f>
        <v>10 10.1 4a</v>
      </c>
      <c r="M235" s="7" t="str">
        <f>CONCATENATE("CSRCLD80D09E388V")</f>
        <v>CSRCLD80D09E388V</v>
      </c>
      <c r="N235" s="7" t="s">
        <v>387</v>
      </c>
      <c r="O235" s="7" t="s">
        <v>385</v>
      </c>
      <c r="P235" s="8">
        <v>44546</v>
      </c>
      <c r="Q235" s="7" t="s">
        <v>32</v>
      </c>
      <c r="R235" s="7" t="s">
        <v>33</v>
      </c>
      <c r="S235" s="7" t="s">
        <v>34</v>
      </c>
      <c r="T235" s="7"/>
      <c r="U235" s="7" t="s">
        <v>35</v>
      </c>
      <c r="V235" s="9">
        <v>7107.13</v>
      </c>
      <c r="W235" s="9">
        <v>3064.59</v>
      </c>
      <c r="X235" s="9">
        <v>2830.06</v>
      </c>
      <c r="Y235" s="7">
        <v>0</v>
      </c>
      <c r="Z235" s="9">
        <v>1212.48</v>
      </c>
    </row>
    <row r="236" spans="1:26" x14ac:dyDescent="0.35">
      <c r="A236" s="7" t="s">
        <v>27</v>
      </c>
      <c r="B236" s="7" t="s">
        <v>43</v>
      </c>
      <c r="C236" s="7" t="s">
        <v>50</v>
      </c>
      <c r="D236" s="7" t="s">
        <v>95</v>
      </c>
      <c r="E236" s="7" t="s">
        <v>29</v>
      </c>
      <c r="F236" s="7" t="s">
        <v>147</v>
      </c>
      <c r="G236" s="7">
        <v>2021</v>
      </c>
      <c r="H236" s="7" t="str">
        <f>CONCATENATE("14241564377")</f>
        <v>14241564377</v>
      </c>
      <c r="I236" s="7" t="s">
        <v>30</v>
      </c>
      <c r="J236" s="7" t="s">
        <v>31</v>
      </c>
      <c r="K236" s="7" t="str">
        <f>CONCATENATE("")</f>
        <v/>
      </c>
      <c r="L236" s="7" t="str">
        <f>CONCATENATE("10 10.1 4a")</f>
        <v>10 10.1 4a</v>
      </c>
      <c r="M236" s="7" t="str">
        <f>CONCATENATE("01761610433")</f>
        <v>01761610433</v>
      </c>
      <c r="N236" s="7" t="s">
        <v>388</v>
      </c>
      <c r="O236" s="7" t="s">
        <v>385</v>
      </c>
      <c r="P236" s="8">
        <v>44546</v>
      </c>
      <c r="Q236" s="7" t="s">
        <v>32</v>
      </c>
      <c r="R236" s="7" t="s">
        <v>33</v>
      </c>
      <c r="S236" s="7" t="s">
        <v>34</v>
      </c>
      <c r="T236" s="7"/>
      <c r="U236" s="7" t="s">
        <v>35</v>
      </c>
      <c r="V236" s="9">
        <v>9942.24</v>
      </c>
      <c r="W236" s="9">
        <v>4287.09</v>
      </c>
      <c r="X236" s="9">
        <v>3959</v>
      </c>
      <c r="Y236" s="7">
        <v>0</v>
      </c>
      <c r="Z236" s="9">
        <v>1696.15</v>
      </c>
    </row>
    <row r="237" spans="1:26" x14ac:dyDescent="0.35">
      <c r="A237" s="7" t="s">
        <v>27</v>
      </c>
      <c r="B237" s="7" t="s">
        <v>43</v>
      </c>
      <c r="C237" s="7" t="s">
        <v>50</v>
      </c>
      <c r="D237" s="7" t="s">
        <v>55</v>
      </c>
      <c r="E237" s="7" t="s">
        <v>41</v>
      </c>
      <c r="F237" s="7" t="s">
        <v>73</v>
      </c>
      <c r="G237" s="7">
        <v>2021</v>
      </c>
      <c r="H237" s="7" t="str">
        <f>CONCATENATE("14240081332")</f>
        <v>14240081332</v>
      </c>
      <c r="I237" s="7" t="s">
        <v>30</v>
      </c>
      <c r="J237" s="7" t="s">
        <v>31</v>
      </c>
      <c r="K237" s="7" t="str">
        <f>CONCATENATE("")</f>
        <v/>
      </c>
      <c r="L237" s="7" t="str">
        <f>CONCATENATE("11 11.1 4b")</f>
        <v>11 11.1 4b</v>
      </c>
      <c r="M237" s="7" t="str">
        <f>CONCATENATE("90047130415")</f>
        <v>90047130415</v>
      </c>
      <c r="N237" s="7" t="s">
        <v>389</v>
      </c>
      <c r="O237" s="7" t="s">
        <v>349</v>
      </c>
      <c r="P237" s="8">
        <v>44540</v>
      </c>
      <c r="Q237" s="7" t="s">
        <v>32</v>
      </c>
      <c r="R237" s="7" t="s">
        <v>33</v>
      </c>
      <c r="S237" s="7" t="s">
        <v>34</v>
      </c>
      <c r="T237" s="7"/>
      <c r="U237" s="7" t="s">
        <v>35</v>
      </c>
      <c r="V237" s="7">
        <v>111.58</v>
      </c>
      <c r="W237" s="7">
        <v>48.11</v>
      </c>
      <c r="X237" s="7">
        <v>44.43</v>
      </c>
      <c r="Y237" s="7">
        <v>0</v>
      </c>
      <c r="Z237" s="7">
        <v>19.04</v>
      </c>
    </row>
    <row r="238" spans="1:26" x14ac:dyDescent="0.35">
      <c r="A238" s="7" t="s">
        <v>27</v>
      </c>
      <c r="B238" s="7" t="s">
        <v>43</v>
      </c>
      <c r="C238" s="7" t="s">
        <v>50</v>
      </c>
      <c r="D238" s="7" t="s">
        <v>55</v>
      </c>
      <c r="E238" s="7" t="s">
        <v>48</v>
      </c>
      <c r="F238" s="7" t="s">
        <v>390</v>
      </c>
      <c r="G238" s="7">
        <v>2021</v>
      </c>
      <c r="H238" s="7" t="str">
        <f>CONCATENATE("14241155028")</f>
        <v>14241155028</v>
      </c>
      <c r="I238" s="7" t="s">
        <v>30</v>
      </c>
      <c r="J238" s="7" t="s">
        <v>31</v>
      </c>
      <c r="K238" s="7" t="str">
        <f>CONCATENATE("")</f>
        <v/>
      </c>
      <c r="L238" s="7" t="str">
        <f>CONCATENATE("11 11.2 4b")</f>
        <v>11 11.2 4b</v>
      </c>
      <c r="M238" s="7" t="str">
        <f>CONCATENATE("02179880410")</f>
        <v>02179880410</v>
      </c>
      <c r="N238" s="7" t="s">
        <v>391</v>
      </c>
      <c r="O238" s="7" t="s">
        <v>349</v>
      </c>
      <c r="P238" s="8">
        <v>44540</v>
      </c>
      <c r="Q238" s="7" t="s">
        <v>32</v>
      </c>
      <c r="R238" s="7" t="s">
        <v>33</v>
      </c>
      <c r="S238" s="7" t="s">
        <v>34</v>
      </c>
      <c r="T238" s="7"/>
      <c r="U238" s="7" t="s">
        <v>35</v>
      </c>
      <c r="V238" s="7">
        <v>788.46</v>
      </c>
      <c r="W238" s="7">
        <v>339.98</v>
      </c>
      <c r="X238" s="7">
        <v>313.95999999999998</v>
      </c>
      <c r="Y238" s="7">
        <v>0</v>
      </c>
      <c r="Z238" s="7">
        <v>134.52000000000001</v>
      </c>
    </row>
    <row r="239" spans="1:26" x14ac:dyDescent="0.35">
      <c r="A239" s="7" t="s">
        <v>27</v>
      </c>
      <c r="B239" s="7" t="s">
        <v>43</v>
      </c>
      <c r="C239" s="7" t="s">
        <v>50</v>
      </c>
      <c r="D239" s="7" t="s">
        <v>59</v>
      </c>
      <c r="E239" s="7" t="s">
        <v>29</v>
      </c>
      <c r="F239" s="7" t="s">
        <v>60</v>
      </c>
      <c r="G239" s="7">
        <v>2021</v>
      </c>
      <c r="H239" s="7" t="str">
        <f>CONCATENATE("14240506379")</f>
        <v>14240506379</v>
      </c>
      <c r="I239" s="7" t="s">
        <v>30</v>
      </c>
      <c r="J239" s="7" t="s">
        <v>31</v>
      </c>
      <c r="K239" s="7" t="str">
        <f>CONCATENATE("")</f>
        <v/>
      </c>
      <c r="L239" s="7" t="str">
        <f>CONCATENATE("11 11.2 4b")</f>
        <v>11 11.2 4b</v>
      </c>
      <c r="M239" s="7" t="str">
        <f>CONCATENATE("BNFDRN59D11D760D")</f>
        <v>BNFDRN59D11D760D</v>
      </c>
      <c r="N239" s="7" t="s">
        <v>392</v>
      </c>
      <c r="O239" s="7" t="s">
        <v>373</v>
      </c>
      <c r="P239" s="8">
        <v>44544</v>
      </c>
      <c r="Q239" s="7" t="s">
        <v>32</v>
      </c>
      <c r="R239" s="7" t="s">
        <v>33</v>
      </c>
      <c r="S239" s="7" t="s">
        <v>34</v>
      </c>
      <c r="T239" s="7"/>
      <c r="U239" s="7" t="s">
        <v>35</v>
      </c>
      <c r="V239" s="7">
        <v>385.19</v>
      </c>
      <c r="W239" s="7">
        <v>166.09</v>
      </c>
      <c r="X239" s="7">
        <v>153.38</v>
      </c>
      <c r="Y239" s="7">
        <v>0</v>
      </c>
      <c r="Z239" s="7">
        <v>65.72</v>
      </c>
    </row>
    <row r="240" spans="1:26" x14ac:dyDescent="0.35">
      <c r="A240" s="7" t="s">
        <v>27</v>
      </c>
      <c r="B240" s="7" t="s">
        <v>43</v>
      </c>
      <c r="C240" s="7" t="s">
        <v>50</v>
      </c>
      <c r="D240" s="7" t="s">
        <v>59</v>
      </c>
      <c r="E240" s="7" t="s">
        <v>45</v>
      </c>
      <c r="F240" s="7" t="s">
        <v>393</v>
      </c>
      <c r="G240" s="7">
        <v>2021</v>
      </c>
      <c r="H240" s="7" t="str">
        <f>CONCATENATE("14240337338")</f>
        <v>14240337338</v>
      </c>
      <c r="I240" s="7" t="s">
        <v>30</v>
      </c>
      <c r="J240" s="7" t="s">
        <v>31</v>
      </c>
      <c r="K240" s="7" t="str">
        <f>CONCATENATE("")</f>
        <v/>
      </c>
      <c r="L240" s="7" t="str">
        <f>CONCATENATE("11 11.2 4b")</f>
        <v>11 11.2 4b</v>
      </c>
      <c r="M240" s="7" t="str">
        <f>CONCATENATE("GLNGRG58M11G224Y")</f>
        <v>GLNGRG58M11G224Y</v>
      </c>
      <c r="N240" s="7" t="s">
        <v>394</v>
      </c>
      <c r="O240" s="7" t="s">
        <v>373</v>
      </c>
      <c r="P240" s="8">
        <v>44544</v>
      </c>
      <c r="Q240" s="7" t="s">
        <v>32</v>
      </c>
      <c r="R240" s="7" t="s">
        <v>33</v>
      </c>
      <c r="S240" s="7" t="s">
        <v>34</v>
      </c>
      <c r="T240" s="7"/>
      <c r="U240" s="7" t="s">
        <v>35</v>
      </c>
      <c r="V240" s="7">
        <v>159.15</v>
      </c>
      <c r="W240" s="7">
        <v>68.63</v>
      </c>
      <c r="X240" s="7">
        <v>63.37</v>
      </c>
      <c r="Y240" s="7">
        <v>0</v>
      </c>
      <c r="Z240" s="7">
        <v>27.15</v>
      </c>
    </row>
    <row r="241" spans="1:26" x14ac:dyDescent="0.35">
      <c r="A241" s="7" t="s">
        <v>27</v>
      </c>
      <c r="B241" s="7" t="s">
        <v>43</v>
      </c>
      <c r="C241" s="7" t="s">
        <v>50</v>
      </c>
      <c r="D241" s="7" t="s">
        <v>95</v>
      </c>
      <c r="E241" s="7" t="s">
        <v>29</v>
      </c>
      <c r="F241" s="7" t="s">
        <v>298</v>
      </c>
      <c r="G241" s="7">
        <v>2021</v>
      </c>
      <c r="H241" s="7" t="str">
        <f>CONCATENATE("14240461336")</f>
        <v>14240461336</v>
      </c>
      <c r="I241" s="7" t="s">
        <v>30</v>
      </c>
      <c r="J241" s="7" t="s">
        <v>31</v>
      </c>
      <c r="K241" s="7" t="str">
        <f>CONCATENATE("")</f>
        <v/>
      </c>
      <c r="L241" s="7" t="str">
        <f>CONCATENATE("10 10.1 4a")</f>
        <v>10 10.1 4a</v>
      </c>
      <c r="M241" s="7" t="str">
        <f>CONCATENATE("MNCBRD55E12L597B")</f>
        <v>MNCBRD55E12L597B</v>
      </c>
      <c r="N241" s="7" t="s">
        <v>395</v>
      </c>
      <c r="O241" s="7" t="s">
        <v>385</v>
      </c>
      <c r="P241" s="8">
        <v>44546</v>
      </c>
      <c r="Q241" s="7" t="s">
        <v>32</v>
      </c>
      <c r="R241" s="7" t="s">
        <v>33</v>
      </c>
      <c r="S241" s="7" t="s">
        <v>34</v>
      </c>
      <c r="T241" s="7"/>
      <c r="U241" s="7" t="s">
        <v>35</v>
      </c>
      <c r="V241" s="9">
        <v>12440.66</v>
      </c>
      <c r="W241" s="9">
        <v>5364.41</v>
      </c>
      <c r="X241" s="9">
        <v>4953.87</v>
      </c>
      <c r="Y241" s="7">
        <v>0</v>
      </c>
      <c r="Z241" s="9">
        <v>2122.38</v>
      </c>
    </row>
    <row r="242" spans="1:26" x14ac:dyDescent="0.35">
      <c r="A242" s="7" t="s">
        <v>27</v>
      </c>
      <c r="B242" s="7" t="s">
        <v>43</v>
      </c>
      <c r="C242" s="7" t="s">
        <v>50</v>
      </c>
      <c r="D242" s="7" t="s">
        <v>95</v>
      </c>
      <c r="E242" s="7" t="s">
        <v>41</v>
      </c>
      <c r="F242" s="7" t="s">
        <v>144</v>
      </c>
      <c r="G242" s="7">
        <v>2021</v>
      </c>
      <c r="H242" s="7" t="str">
        <f>CONCATENATE("14240485020")</f>
        <v>14240485020</v>
      </c>
      <c r="I242" s="7" t="s">
        <v>30</v>
      </c>
      <c r="J242" s="7" t="s">
        <v>31</v>
      </c>
      <c r="K242" s="7" t="str">
        <f>CONCATENATE("")</f>
        <v/>
      </c>
      <c r="L242" s="7" t="str">
        <f>CONCATENATE("10 10.1 4a")</f>
        <v>10 10.1 4a</v>
      </c>
      <c r="M242" s="7" t="str">
        <f>CONCATENATE("SBSDMN91B16I156V")</f>
        <v>SBSDMN91B16I156V</v>
      </c>
      <c r="N242" s="7" t="s">
        <v>396</v>
      </c>
      <c r="O242" s="7" t="s">
        <v>385</v>
      </c>
      <c r="P242" s="8">
        <v>44546</v>
      </c>
      <c r="Q242" s="7" t="s">
        <v>32</v>
      </c>
      <c r="R242" s="7" t="s">
        <v>33</v>
      </c>
      <c r="S242" s="7" t="s">
        <v>34</v>
      </c>
      <c r="T242" s="7"/>
      <c r="U242" s="7" t="s">
        <v>35</v>
      </c>
      <c r="V242" s="9">
        <v>10946.35</v>
      </c>
      <c r="W242" s="9">
        <v>4720.07</v>
      </c>
      <c r="X242" s="9">
        <v>4358.84</v>
      </c>
      <c r="Y242" s="7">
        <v>0</v>
      </c>
      <c r="Z242" s="9">
        <v>1867.44</v>
      </c>
    </row>
    <row r="243" spans="1:26" x14ac:dyDescent="0.35">
      <c r="A243" s="7" t="s">
        <v>27</v>
      </c>
      <c r="B243" s="7" t="s">
        <v>43</v>
      </c>
      <c r="C243" s="7" t="s">
        <v>50</v>
      </c>
      <c r="D243" s="7" t="s">
        <v>95</v>
      </c>
      <c r="E243" s="7" t="s">
        <v>41</v>
      </c>
      <c r="F243" s="7" t="s">
        <v>142</v>
      </c>
      <c r="G243" s="7">
        <v>2021</v>
      </c>
      <c r="H243" s="7" t="str">
        <f>CONCATENATE("14241255489")</f>
        <v>14241255489</v>
      </c>
      <c r="I243" s="7" t="s">
        <v>30</v>
      </c>
      <c r="J243" s="7" t="s">
        <v>31</v>
      </c>
      <c r="K243" s="7" t="str">
        <f>CONCATENATE("")</f>
        <v/>
      </c>
      <c r="L243" s="7" t="str">
        <f>CONCATENATE("10 10.1 4a")</f>
        <v>10 10.1 4a</v>
      </c>
      <c r="M243" s="7" t="str">
        <f>CONCATENATE("00863530432")</f>
        <v>00863530432</v>
      </c>
      <c r="N243" s="7" t="s">
        <v>397</v>
      </c>
      <c r="O243" s="7" t="s">
        <v>385</v>
      </c>
      <c r="P243" s="8">
        <v>44546</v>
      </c>
      <c r="Q243" s="7" t="s">
        <v>32</v>
      </c>
      <c r="R243" s="7" t="s">
        <v>33</v>
      </c>
      <c r="S243" s="7" t="s">
        <v>34</v>
      </c>
      <c r="T243" s="7"/>
      <c r="U243" s="7" t="s">
        <v>35</v>
      </c>
      <c r="V243" s="9">
        <v>10133.709999999999</v>
      </c>
      <c r="W243" s="9">
        <v>4369.66</v>
      </c>
      <c r="X243" s="9">
        <v>4035.24</v>
      </c>
      <c r="Y243" s="7">
        <v>0</v>
      </c>
      <c r="Z243" s="9">
        <v>1728.81</v>
      </c>
    </row>
    <row r="244" spans="1:26" x14ac:dyDescent="0.35">
      <c r="A244" s="7" t="s">
        <v>27</v>
      </c>
      <c r="B244" s="7" t="s">
        <v>43</v>
      </c>
      <c r="C244" s="7" t="s">
        <v>50</v>
      </c>
      <c r="D244" s="7" t="s">
        <v>95</v>
      </c>
      <c r="E244" s="7" t="s">
        <v>41</v>
      </c>
      <c r="F244" s="7" t="s">
        <v>142</v>
      </c>
      <c r="G244" s="7">
        <v>2021</v>
      </c>
      <c r="H244" s="7" t="str">
        <f>CONCATENATE("14241088039")</f>
        <v>14241088039</v>
      </c>
      <c r="I244" s="7" t="s">
        <v>30</v>
      </c>
      <c r="J244" s="7" t="s">
        <v>31</v>
      </c>
      <c r="K244" s="7" t="str">
        <f>CONCATENATE("")</f>
        <v/>
      </c>
      <c r="L244" s="7" t="str">
        <f>CONCATENATE("10 10.1 4a")</f>
        <v>10 10.1 4a</v>
      </c>
      <c r="M244" s="7" t="str">
        <f>CONCATENATE("01976250439")</f>
        <v>01976250439</v>
      </c>
      <c r="N244" s="7" t="s">
        <v>398</v>
      </c>
      <c r="O244" s="7" t="s">
        <v>385</v>
      </c>
      <c r="P244" s="8">
        <v>44546</v>
      </c>
      <c r="Q244" s="7" t="s">
        <v>32</v>
      </c>
      <c r="R244" s="7" t="s">
        <v>33</v>
      </c>
      <c r="S244" s="7" t="s">
        <v>34</v>
      </c>
      <c r="T244" s="7"/>
      <c r="U244" s="7" t="s">
        <v>35</v>
      </c>
      <c r="V244" s="9">
        <v>15684.66</v>
      </c>
      <c r="W244" s="9">
        <v>6763.23</v>
      </c>
      <c r="X244" s="9">
        <v>6245.63</v>
      </c>
      <c r="Y244" s="7">
        <v>0</v>
      </c>
      <c r="Z244" s="9">
        <v>2675.8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71584</vt:lpwstr>
  </property>
  <property fmtid="{D5CDD505-2E9C-101B-9397-08002B2CF9AE}" pid="4" name="OptimizationTime">
    <vt:lpwstr>20211221_1554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2021-12-21T09:48:23Z</dcterms:created>
  <dcterms:modified xsi:type="dcterms:W3CDTF">2021-12-21T09:49:08Z</dcterms:modified>
</cp:coreProperties>
</file>