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3/"/>
    </mc:Choice>
  </mc:AlternateContent>
  <xr:revisionPtr revIDLastSave="0" documentId="8_{CDF9F299-961D-4C4A-903D-637288ADD6D0}" xr6:coauthVersionLast="46" xr6:coauthVersionMax="46" xr10:uidLastSave="{00000000-0000-0000-0000-000000000000}"/>
  <bookViews>
    <workbookView xWindow="-110" yWindow="-110" windowWidth="19420" windowHeight="10420" xr2:uid="{9DFBAD2D-FF4E-4CFD-BE05-AAFC487389D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0" i="1" l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<sst xmlns="http://schemas.openxmlformats.org/spreadsheetml/2006/main" count="2362" uniqueCount="294">
  <si>
    <t>Dettaglio Domande Pagabili Decreto 503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</si>
  <si>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</si>
  <si>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</si>
  <si>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</si>
  <si>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</si>
  <si>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</si>
  <si>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</si>
  <si>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</si>
  <si>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</si>
  <si>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</si>
  <si>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</si>
  <si>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</si>
  <si>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</si>
  <si>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</si>
  <si>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</si>
  <si>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</si>
  <si>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</si>
  <si>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</si>
  <si>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</si>
  <si>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</si>
  <si>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</si>
  <si>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</si>
  <si>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</si>
  <si>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</si>
  <si>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</si>
  <si>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</si>
  <si>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</si>
  <si>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</si>
  <si>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</si>
  <si>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</si>
  <si>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</si>
  <si>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</si>
  <si>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</si>
  <si>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</si>
  <si>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</si>
  <si>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</si>
  <si>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CAA CIA srl</t>
  </si>
  <si>
    <t>CAA LiberiAgricoltori srl già CAA AGCI srl</t>
  </si>
  <si>
    <t>CAA Confagricoltura srl</t>
  </si>
  <si>
    <t>CAA UNSIC s.r.l.</t>
  </si>
  <si>
    <t>SI</t>
  </si>
  <si>
    <t>CAA-CAF AGRI S.R.L.</t>
  </si>
  <si>
    <t>CAA UNICAA srl</t>
  </si>
  <si>
    <t>IN PROPRIO</t>
  </si>
  <si>
    <t>Misure Strutturali</t>
  </si>
  <si>
    <t>SAL</t>
  </si>
  <si>
    <t>Anticipo</t>
  </si>
  <si>
    <t>MARCHE</t>
  </si>
  <si>
    <t>COMUNE DI ROCCAFLUVIONE</t>
  </si>
  <si>
    <t>AGEA.ASR.2021.1753199</t>
  </si>
  <si>
    <t>COMUNE DI MONTEFORTINO</t>
  </si>
  <si>
    <t>AGEA.ASR.2021.1753912</t>
  </si>
  <si>
    <t>SERV. DEC. AGRICOLTURA E ALIMENTAZIONE - ANCONA</t>
  </si>
  <si>
    <t>CAA CIA - ANCONA - 006</t>
  </si>
  <si>
    <t>GRESTA SIMONE</t>
  </si>
  <si>
    <t>AGEA.ASR.2021.1481103</t>
  </si>
  <si>
    <t>SERV. DEC. AGRICOLTURA E ALIM. - MACERATA</t>
  </si>
  <si>
    <t>SOCIETA' AGRICOLA IL TRIBBIO S.S.</t>
  </si>
  <si>
    <t>AGEA.ASR.2021.1757122</t>
  </si>
  <si>
    <t>COMUNE DI SAN COSTANZO</t>
  </si>
  <si>
    <t>AGEA.ASR.2021.1530828</t>
  </si>
  <si>
    <t>AMMINISTRAZIONE COMUNALE DI CARPEGNA</t>
  </si>
  <si>
    <t>AGEA.ASR.2021.1753214</t>
  </si>
  <si>
    <t>SERV. DEC. AGRICOLTURA E ALIMENTAZIONE - PESARO</t>
  </si>
  <si>
    <t>BORGIA EUGENIO</t>
  </si>
  <si>
    <t>AGEA.ASR.2021.1757296</t>
  </si>
  <si>
    <t>COMUNE DI MONDAVIO</t>
  </si>
  <si>
    <t>COMUNE DI MONTE PORZIO</t>
  </si>
  <si>
    <t>COMUNE DI MONTEFELCINO</t>
  </si>
  <si>
    <t>COMUNE DI SAN LORENZO IN CAMPO</t>
  </si>
  <si>
    <t>COMUNE DI SERRA SANT'ABBONDIO</t>
  </si>
  <si>
    <t>COMUNE DI FALERONE</t>
  </si>
  <si>
    <t>COMUNE DI MONTELPARO</t>
  </si>
  <si>
    <t>CAA CAF AGRI - ANCONA - 221</t>
  </si>
  <si>
    <t>AGENZIA DI SVILUPPO RURALE SRL</t>
  </si>
  <si>
    <t>AGEA.ASR.2021.1753540</t>
  </si>
  <si>
    <t>SERV. DEC. AGRICOLTURA E ALIM. -ASCOLI PICENO</t>
  </si>
  <si>
    <t>CAA CIA - ASCOLI PICENO - 001</t>
  </si>
  <si>
    <t>CONFEDERAZIONE ITALIANA AGRICOLTORI DI ASCOLI PICENO, FERMO E MACERATA</t>
  </si>
  <si>
    <t>SOCIETA COOPERATIVA AGRICOLA ABBADIA DI FIASTRA</t>
  </si>
  <si>
    <t>AGEA.ASR.2021.1756786</t>
  </si>
  <si>
    <t>CAA UNICAA - ASCOLI PICENO - 004</t>
  </si>
  <si>
    <t>FIORONI MAURO</t>
  </si>
  <si>
    <t>AGEA.ASR.2021.1757290</t>
  </si>
  <si>
    <t>CAA Coldiretti - MACERATA - 017</t>
  </si>
  <si>
    <t>FIORINI MARCO</t>
  </si>
  <si>
    <t>AGEA.ASR.2021.1757095</t>
  </si>
  <si>
    <t>TENIMENTI LE GINESTRE SRL SOCAGR</t>
  </si>
  <si>
    <t>CONFEDERAZIONE ITALIANA AGRICOLTORI DELLE MARCHE</t>
  </si>
  <si>
    <t>AGEA.ASR.2021.1757292</t>
  </si>
  <si>
    <t>AGEA.ASR.2021.1757090</t>
  </si>
  <si>
    <t>COMUNE DI BELFORTE DEL CHIENTI</t>
  </si>
  <si>
    <t>AGEA.ASR.2021.1754445</t>
  </si>
  <si>
    <t>COMUNE DI MOGLIANO</t>
  </si>
  <si>
    <t>BOVINMARCHE ALLEVATORI MARCHIGIANI SOCIETA' COOPERATIVA CONSORTILE AGR</t>
  </si>
  <si>
    <t>AGEA.ASR.2021.1757098</t>
  </si>
  <si>
    <t>CAA Coldiretti - ASCOLI PICENO - 010</t>
  </si>
  <si>
    <t>DI COLA ANNUNZIO &amp; C. SOCIETA' SEMPLICE</t>
  </si>
  <si>
    <t>AGEA.ASR.2021.1753730</t>
  </si>
  <si>
    <t>COMUNE PETRIOLO</t>
  </si>
  <si>
    <t>AGEA.ASR.2021.1754441</t>
  </si>
  <si>
    <t>BERTANI DOMAINS SOCIETA' AGRICOLA A R.L.</t>
  </si>
  <si>
    <t>AGEA.ASR.2021.1755767</t>
  </si>
  <si>
    <t>MASS-HANS VALDIFIORI DI CIPRIANI MASSIMO &amp; C. S.A.S. - SOCIETA'AG RICO</t>
  </si>
  <si>
    <t>VIRGILI GABRIELE</t>
  </si>
  <si>
    <t>I QUATTRO SOCIETA' AGRICOLA SRL</t>
  </si>
  <si>
    <t>TIBERI SANDRO</t>
  </si>
  <si>
    <t>AGEA.ASR.2021.1753223</t>
  </si>
  <si>
    <t>VICEVERSA SOCIETA' COOPERATIVA SOCIALE A RESPONSABILITA' LIMITATA IN S</t>
  </si>
  <si>
    <t>CAA CAF AGRI - ASCOLI PICENO - 222</t>
  </si>
  <si>
    <t>SOCIETA' AGRICOLA NONNU LUI' DI GUGLIELMI ANTONIO &amp; ILARIA</t>
  </si>
  <si>
    <t>AGEA.ASR.2021.1543154</t>
  </si>
  <si>
    <t>AGEA.ASR.2021.1543155</t>
  </si>
  <si>
    <t>CAA LiberiAgricoltori - PESARO E URBINO - 001</t>
  </si>
  <si>
    <t>BRUSCOLI MARIANNA</t>
  </si>
  <si>
    <t>AGEA.ASR.2021.1541167</t>
  </si>
  <si>
    <t>CAA CIA - PESARO E URBINO - 007</t>
  </si>
  <si>
    <t>CASAVECCHIA MAURO</t>
  </si>
  <si>
    <t>CAA Coldiretti - PESARO E URBINO - 008</t>
  </si>
  <si>
    <t>ALESSANDRONI PAOLA</t>
  </si>
  <si>
    <t>CAA Coldiretti - PESARO E URBINO - 001</t>
  </si>
  <si>
    <t>ALLEVAMENTO DEI BEDOZZO E ASAM DI ASAM HUBERT J. &amp; C. SAS SOCIETA' AGR</t>
  </si>
  <si>
    <t>CAA Coldiretti - PESARO E URBINO - 004</t>
  </si>
  <si>
    <t>AMATI ANTONIO</t>
  </si>
  <si>
    <t>CAA Coldiretti - PESARO E URBINO - 010</t>
  </si>
  <si>
    <t>ANTONIUCCI VITTORIO</t>
  </si>
  <si>
    <t>CAA CIA - PESARO E URBINO - 005</t>
  </si>
  <si>
    <t>AZIENDA AGRICOLA PAGANELLI SOCIETA' SEMPLICE AGRICOLA S.S.</t>
  </si>
  <si>
    <t>BALDELLI ANDREA</t>
  </si>
  <si>
    <t>PARLANTI LORENZO</t>
  </si>
  <si>
    <t>CAA CIA - PESARO E URBINO - 002</t>
  </si>
  <si>
    <t>BOINEGA MARIO E LINO SOCIETA' AGRICOLA S.S.</t>
  </si>
  <si>
    <t>CAMPORESI LUIGI</t>
  </si>
  <si>
    <t>CAA Coldiretti - PESARO E URBINO - 013</t>
  </si>
  <si>
    <t>CESARINI ADALBERTO</t>
  </si>
  <si>
    <t>CIACCI ALESSANDRO</t>
  </si>
  <si>
    <t>CAA LiberiAgricoltori - PESARO E URBINO - 002</t>
  </si>
  <si>
    <t>SOCIETA' AGRICOLA SEVERINI S.S.</t>
  </si>
  <si>
    <t>CARDELLINI GIORGIO</t>
  </si>
  <si>
    <t>MAZZOCCHI DANIELE</t>
  </si>
  <si>
    <t>COMUNE DI MONTOTTONE</t>
  </si>
  <si>
    <t>AGEA.ASR.2021.1753207</t>
  </si>
  <si>
    <t>COMUNE DI MORRO D'ALBA</t>
  </si>
  <si>
    <t>AGEA.ASR.2021.1530827</t>
  </si>
  <si>
    <t>FORMICA DAVIDE</t>
  </si>
  <si>
    <t>AGEA.ASR.2021.1530990</t>
  </si>
  <si>
    <t>PAOLONI EMILIO</t>
  </si>
  <si>
    <t>PUGLIESE ROSA</t>
  </si>
  <si>
    <t>SORIANI MARIO</t>
  </si>
  <si>
    <t>CAA Coldiretti - ANCONA - 002</t>
  </si>
  <si>
    <t>BIOCCO MARIA</t>
  </si>
  <si>
    <t>DI COLA ANNUNZIO</t>
  </si>
  <si>
    <t>RICCIOTTI VITO</t>
  </si>
  <si>
    <t>CAA Coldiretti - ASCOLI PICENO - 030</t>
  </si>
  <si>
    <t>FALCIONI ALDO</t>
  </si>
  <si>
    <t>AGEA.ASR.2021.1543163</t>
  </si>
  <si>
    <t>VAGNONI LILIANA</t>
  </si>
  <si>
    <t>AGEA.ASR.2021.1750051</t>
  </si>
  <si>
    <t>PERUGINI DOMENICO</t>
  </si>
  <si>
    <t>CAA UNICAA - ANCONA - 003</t>
  </si>
  <si>
    <t>TENAGLIA MAURA</t>
  </si>
  <si>
    <t>CAA Confagricoltura - PESARO E URBINO - 001</t>
  </si>
  <si>
    <t>BRUSCOLI NADIA</t>
  </si>
  <si>
    <t>CAA CAF AGRI - PESARO E URBINO - 221</t>
  </si>
  <si>
    <t>SOCIETA' AGRICOLA F.LLI CEREGINI SS</t>
  </si>
  <si>
    <t>CAA CIA - PERUGIA - 005</t>
  </si>
  <si>
    <t>BRUNAMONTI MATTEO</t>
  </si>
  <si>
    <t>CALIENDI ENRICO</t>
  </si>
  <si>
    <t>CAPANNINI SIMONE</t>
  </si>
  <si>
    <t>SOCIETA' AGRICOLA AGRIMEL S.S. DI CARTECHINI EMANUELE E MICHELE</t>
  </si>
  <si>
    <t>AGEA.ASR.2021.1540092</t>
  </si>
  <si>
    <t>COLLI ESINI SAN VICINO SRL</t>
  </si>
  <si>
    <t>AGEA.ASR.2021.1530839</t>
  </si>
  <si>
    <t>MONTEFELTRO SVILUPPO SOC. CONS. A R.L.</t>
  </si>
  <si>
    <t>AGEA.ASR.2021.1757125</t>
  </si>
  <si>
    <t>COMUNE DI RAPAGNANO</t>
  </si>
  <si>
    <t>AGEA.ASR.2021.1753927</t>
  </si>
  <si>
    <t>PHARMAFIT AGT SRL SOCIETA AGRICOLA</t>
  </si>
  <si>
    <t>MASIA SILVIO</t>
  </si>
  <si>
    <t>PIERSANTINI MICHELE</t>
  </si>
  <si>
    <t>CAA CIA - PESARO E URBINO - 008</t>
  </si>
  <si>
    <t>BELPASSI LUCIANO</t>
  </si>
  <si>
    <t>CARNEVALI SABINA</t>
  </si>
  <si>
    <t>SOCIETA' AGRICOLA F.LLI LONDEI S.S.</t>
  </si>
  <si>
    <t>VALENTI ERIKA</t>
  </si>
  <si>
    <t>AGEA.ASR.2021.1540082</t>
  </si>
  <si>
    <t>AGEA.ASR.2021.1753202</t>
  </si>
  <si>
    <t>CAA Coldiretti - ANCONA - 003</t>
  </si>
  <si>
    <t>LANCIONI PAOLO</t>
  </si>
  <si>
    <t>AGEA.ASR.2021.1541962</t>
  </si>
  <si>
    <t>COMUNE DI POLLENZA</t>
  </si>
  <si>
    <t>AGEA.ASR.2021.1543068</t>
  </si>
  <si>
    <t>SOCIETA' AGRICOLA DI PIETRANTONIO ANDREA E C. S.S.</t>
  </si>
  <si>
    <t>AGEA.ASR.2021.1531677</t>
  </si>
  <si>
    <t>CAMBERTONI ENRICO</t>
  </si>
  <si>
    <t>AGEA.ASR.2021.1531638</t>
  </si>
  <si>
    <t>SOLATIO SOCIETA'SEMPLICE DI CAPRETTI MAURIZIO &amp; RITUCCI MICHELE</t>
  </si>
  <si>
    <t>LAUDAZI ANDREA</t>
  </si>
  <si>
    <t>SOCIETA' AGRICOLA LA COLLINA DEI CAVALIERI DI ROCCHI LUANA &amp; C. S OCIE</t>
  </si>
  <si>
    <t>AGEA.ASR.2021.1757112</t>
  </si>
  <si>
    <t>COMUNE DI FERMO</t>
  </si>
  <si>
    <t>AGEA.ASR.2021.1753184</t>
  </si>
  <si>
    <t>SOCIETA' AGRICOLA PASTORELLO DI CUPI DI CIAMMARUCHI ARCANGELO E C. S.S</t>
  </si>
  <si>
    <t>AGEA.ASR.2021.1751554</t>
  </si>
  <si>
    <t>CAA Coldiretti - MACERATA - 018</t>
  </si>
  <si>
    <t>ACCIARRESI IVANA</t>
  </si>
  <si>
    <t>RICOTTA MARIO</t>
  </si>
  <si>
    <t>CAA CIA - MACERATA - 001</t>
  </si>
  <si>
    <t>"SOCIETA' AGRICOLA SEMPLICE DI NABISSI GRAZIANO E GIACOMO"</t>
  </si>
  <si>
    <t>CAA CIA - ANCONA - 002</t>
  </si>
  <si>
    <t>PICCINI SILVANO</t>
  </si>
  <si>
    <t>FATTORINI PAOLA</t>
  </si>
  <si>
    <t>CAA Coldiretti - ANCONA - 008</t>
  </si>
  <si>
    <t>SOCIETA' AGRICOLA ELISAPETTA</t>
  </si>
  <si>
    <t>AGEA.ASR.2021.1757117</t>
  </si>
  <si>
    <t>AGEA.ASR.2021.1757294</t>
  </si>
  <si>
    <t>TABACCHI ANTONELLA</t>
  </si>
  <si>
    <t>AGEA.ASR.2021.1477743</t>
  </si>
  <si>
    <t>ACCIARRI SILVANA</t>
  </si>
  <si>
    <t>AGEA.ASR.2021.1530034</t>
  </si>
  <si>
    <t>AGEA.ASR.2021.1543121</t>
  </si>
  <si>
    <t>COMUNE DI CORRIDONIA</t>
  </si>
  <si>
    <t>AGEA.ASR.2021.1754465</t>
  </si>
  <si>
    <t>CAMPETELLA ILARIA</t>
  </si>
  <si>
    <t>CAA Confagricoltura - MACERATA - 001</t>
  </si>
  <si>
    <t>FONDAZIONE GIUSTINIANI BANDINI</t>
  </si>
  <si>
    <t>RAMADORI MARIO</t>
  </si>
  <si>
    <t>SOCIETA' AGRICOLA IL RITORNO DI CLEMENTI MIRCO E FEDERICO S.S.</t>
  </si>
  <si>
    <t>BONARELLI NORMANNO</t>
  </si>
  <si>
    <t>AGEA.ASR.2021.1753263</t>
  </si>
  <si>
    <t>CONSORZIO DI BONIFICA DELLE MARCHE</t>
  </si>
  <si>
    <t>AGEA.ASR.2021.1531010</t>
  </si>
  <si>
    <t>AZIENDA VINICOLA UMANI RONCHI SPA</t>
  </si>
  <si>
    <t>AGEA.ASR.2021.1754400</t>
  </si>
  <si>
    <t>ENTE REGIONE MARCHE</t>
  </si>
  <si>
    <t>AGEA.ASR.2021.1755782</t>
  </si>
  <si>
    <t>AGENZIA SERVIZI SETTORE AGROALIMENTARE MARCHE (ASSAM)</t>
  </si>
  <si>
    <t>SOCIETA' AGRICOLA SIMONCINI DI SIMONCINI PIERPAOLO E GIUNGI MANUELA SO</t>
  </si>
  <si>
    <t>COMUNE DI MONTEMONACO</t>
  </si>
  <si>
    <t>AGEA.ASR.2021.1753936</t>
  </si>
  <si>
    <t>COMUNE DI ROTELLA</t>
  </si>
  <si>
    <t>CAPPONI LUCA</t>
  </si>
  <si>
    <t>AGEA.ASR.2021.1540064</t>
  </si>
  <si>
    <t>PAOLETTI JACOPO</t>
  </si>
  <si>
    <t>SOCIETA' AGRICOLA D.M.M. AGRI</t>
  </si>
  <si>
    <t>SOCIETA' AGRICOLA DEL FIASTRONE S.S.</t>
  </si>
  <si>
    <t>CAA Coldiretti - PESARO E URBINO - 007</t>
  </si>
  <si>
    <t>PIERANTONI ROBERTO</t>
  </si>
  <si>
    <t>SOCIETA' AGRICOLA TERRA E SAPORI DI BALDACCIONI ROMINA E RAIMONDO S.S.</t>
  </si>
  <si>
    <t>AZIENDA AGRICOLA MOCHI - S.S. SOCIETA' AGRICOLA</t>
  </si>
  <si>
    <t>TAMANTI AUGUSTO</t>
  </si>
  <si>
    <t>CIACCI BENEDETTO</t>
  </si>
  <si>
    <t>CALIENDI FRANCESCO</t>
  </si>
  <si>
    <t>CAA Coldiretti - ASCOLI PICENO - 040</t>
  </si>
  <si>
    <t>CORSI GIOVANNI</t>
  </si>
  <si>
    <t>BIANCUCCI MICHELE</t>
  </si>
  <si>
    <t>AZIENDA AGRICOLA BMVG SRL</t>
  </si>
  <si>
    <t>CAA Coldiretti - ASCOLI PICENO - 025</t>
  </si>
  <si>
    <t>DEL BELLO DARIO</t>
  </si>
  <si>
    <t>DI NICOLO' SILVANO</t>
  </si>
  <si>
    <t>NUCCI ERMANNO</t>
  </si>
  <si>
    <t>D'ANGELO GRAZIANO</t>
  </si>
  <si>
    <t>CAA UNSIC - ASCOLI PICENO - 001</t>
  </si>
  <si>
    <t>GASPERI SANDRA</t>
  </si>
  <si>
    <t>CAA CIA - ASCOLI PICENO - 005</t>
  </si>
  <si>
    <t>BELLEGGIA FABIO</t>
  </si>
  <si>
    <t>CAA Coldiretti - ASCOLI PICENO - 035</t>
  </si>
  <si>
    <t>LAURI FABIO</t>
  </si>
  <si>
    <t>AGEA.ASR.2021.1757510</t>
  </si>
  <si>
    <t>AGEA.ASR.2021.1757509</t>
  </si>
  <si>
    <t>AZ.AGR CAU &amp; SPADA DI SPADA ANTONINO E C SOC AGR</t>
  </si>
  <si>
    <t>AGEA.ASR.2021.1754230</t>
  </si>
  <si>
    <t>LEVANTESI MARIA LETIZIA</t>
  </si>
  <si>
    <t>LONDEI LUCA</t>
  </si>
  <si>
    <t>COOPERLAT SOCIETA' COOPERATIVA AGRICOLA</t>
  </si>
  <si>
    <t>AGEA.ASR.2021.1757127</t>
  </si>
  <si>
    <t>COMUNE DI LAPEDONA</t>
  </si>
  <si>
    <t>AGEA.ASR.2021.1753941</t>
  </si>
  <si>
    <t>NATMESSNIG MICHAEL</t>
  </si>
  <si>
    <t>AGEA.ASR.2021.1543158</t>
  </si>
  <si>
    <t>MAGNANI RENZO</t>
  </si>
  <si>
    <t>LIGUORI GIUSEPPE</t>
  </si>
  <si>
    <t>TOPI FABRIZIO</t>
  </si>
  <si>
    <t>ERCOLANI LORENZO</t>
  </si>
  <si>
    <t>TORELLI GABRIELLA</t>
  </si>
  <si>
    <t>SOCIETA' AGRICOLA ALLEGRETTI S.S.</t>
  </si>
  <si>
    <t>CAA CIA - ASCOLI PICENO - 006</t>
  </si>
  <si>
    <t>KLEIDORFER JOHANN</t>
  </si>
  <si>
    <t>FICCADENTI VINCENZO</t>
  </si>
  <si>
    <t>CELANI GRAZIANO</t>
  </si>
  <si>
    <t>BECCERICA ENRICO</t>
  </si>
  <si>
    <t>AGEA.ASR.2021.1369434</t>
  </si>
  <si>
    <t>QUOTA GROUP SRL</t>
  </si>
  <si>
    <t>AGEA.ASR.2021.1258162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</si>
</sst>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704A-EF6E-4F58-84FB-C453B8F36A80}">
  <dimension ref="A1:Z170"/>
  <sheetViews>
    <sheetView showGridLines="0" tabSelected="1" workbookViewId="0">
      <selection activeCell="E174" sqref="E17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44</v>
      </c>
      <c r="C4" s="7" t="s">
        <v>47</v>
      </c>
      <c r="D4" s="7" t="s">
        <v>47</v>
      </c>
      <c r="E4" s="7" t="s">
        <v>43</v>
      </c>
      <c r="F4" s="7" t="s">
        <v>43</v>
      </c>
      <c r="G4" s="7">
        <v>2017</v>
      </c>
      <c r="H4" s="7" t="str">
        <f>CONCATENATE("14270333991")</f>
        <v>14270333991</v>
      </c>
      <c r="I4" s="7" t="s">
        <v>30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CONCATENATE("80004250447")</f>
        <v>80004250447</v>
      </c>
      <c r="N4" s="7" t="s">
        <v>48</v>
      </c>
      <c r="O4" s="7" t="s">
        <v>49</v>
      </c>
      <c r="P4" s="8">
        <v>44537</v>
      </c>
      <c r="Q4" s="7" t="s">
        <v>32</v>
      </c>
      <c r="R4" s="7" t="s">
        <v>46</v>
      </c>
      <c r="S4" s="7" t="s">
        <v>34</v>
      </c>
      <c r="T4" s="7"/>
      <c r="U4" s="7" t="s">
        <v>35</v>
      </c>
      <c r="V4" s="9">
        <v>7413.27</v>
      </c>
      <c r="W4" s="9">
        <v>3196.6</v>
      </c>
      <c r="X4" s="9">
        <v>2951.96</v>
      </c>
      <c r="Y4" s="7">
        <v>0</v>
      </c>
      <c r="Z4" s="9">
        <v>1264.71</v>
      </c>
    </row>
    <row r="5" spans="1:26" x14ac:dyDescent="0.35">
      <c r="A5" s="7" t="s">
        <v>27</v>
      </c>
      <c r="B5" s="7" t="s">
        <v>44</v>
      </c>
      <c r="C5" s="7" t="s">
        <v>47</v>
      </c>
      <c r="D5" s="7" t="s">
        <v>47</v>
      </c>
      <c r="E5" s="7" t="s">
        <v>43</v>
      </c>
      <c r="F5" s="7" t="s">
        <v>43</v>
      </c>
      <c r="G5" s="7">
        <v>2017</v>
      </c>
      <c r="H5" s="7" t="str">
        <f>CONCATENATE("14270339345")</f>
        <v>14270339345</v>
      </c>
      <c r="I5" s="7" t="s">
        <v>30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CONCATENATE("00400660445")</f>
        <v>00400660445</v>
      </c>
      <c r="N5" s="7" t="s">
        <v>50</v>
      </c>
      <c r="O5" s="7" t="s">
        <v>51</v>
      </c>
      <c r="P5" s="8">
        <v>44537</v>
      </c>
      <c r="Q5" s="7" t="s">
        <v>32</v>
      </c>
      <c r="R5" s="7" t="s">
        <v>46</v>
      </c>
      <c r="S5" s="7" t="s">
        <v>34</v>
      </c>
      <c r="T5" s="7"/>
      <c r="U5" s="7" t="s">
        <v>35</v>
      </c>
      <c r="V5" s="9">
        <v>45128.04</v>
      </c>
      <c r="W5" s="9">
        <v>19459.21</v>
      </c>
      <c r="X5" s="9">
        <v>17969.990000000002</v>
      </c>
      <c r="Y5" s="7">
        <v>0</v>
      </c>
      <c r="Z5" s="9">
        <v>7698.84</v>
      </c>
    </row>
    <row r="6" spans="1:26" x14ac:dyDescent="0.35">
      <c r="A6" s="7" t="s">
        <v>27</v>
      </c>
      <c r="B6" s="7" t="s">
        <v>44</v>
      </c>
      <c r="C6" s="7" t="s">
        <v>47</v>
      </c>
      <c r="D6" s="7" t="s">
        <v>52</v>
      </c>
      <c r="E6" s="7" t="s">
        <v>36</v>
      </c>
      <c r="F6" s="7" t="s">
        <v>53</v>
      </c>
      <c r="G6" s="7">
        <v>2017</v>
      </c>
      <c r="H6" s="7" t="str">
        <f>CONCATENATE("14270326805")</f>
        <v>14270326805</v>
      </c>
      <c r="I6" s="7" t="s">
        <v>30</v>
      </c>
      <c r="J6" s="7" t="s">
        <v>31</v>
      </c>
      <c r="K6" s="7" t="str">
        <f>CONCATENATE("")</f>
        <v/>
      </c>
      <c r="L6" s="7" t="str">
        <f>CONCATENATE("6 6.4 2a")</f>
        <v>6 6.4 2a</v>
      </c>
      <c r="M6" s="7" t="str">
        <f>CONCATENATE("GRSSMN73E17E388W")</f>
        <v>GRSSMN73E17E388W</v>
      </c>
      <c r="N6" s="7" t="s">
        <v>54</v>
      </c>
      <c r="O6" s="7" t="s">
        <v>55</v>
      </c>
      <c r="P6" s="8">
        <v>44539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63040.99</v>
      </c>
      <c r="W6" s="9">
        <v>27183.27</v>
      </c>
      <c r="X6" s="9">
        <v>25102.92</v>
      </c>
      <c r="Y6" s="7">
        <v>0</v>
      </c>
      <c r="Z6" s="9">
        <v>10754.8</v>
      </c>
    </row>
    <row r="7" spans="1:26" x14ac:dyDescent="0.35">
      <c r="A7" s="7" t="s">
        <v>27</v>
      </c>
      <c r="B7" s="7" t="s">
        <v>44</v>
      </c>
      <c r="C7" s="7" t="s">
        <v>47</v>
      </c>
      <c r="D7" s="7" t="s">
        <v>56</v>
      </c>
      <c r="E7" s="7" t="s">
        <v>43</v>
      </c>
      <c r="F7" s="7" t="s">
        <v>43</v>
      </c>
      <c r="G7" s="7">
        <v>2017</v>
      </c>
      <c r="H7" s="7" t="str">
        <f>CONCATENATE("14270338800")</f>
        <v>14270338800</v>
      </c>
      <c r="I7" s="7" t="s">
        <v>40</v>
      </c>
      <c r="J7" s="7" t="s">
        <v>31</v>
      </c>
      <c r="K7" s="7" t="str">
        <f>CONCATENATE("")</f>
        <v/>
      </c>
      <c r="L7" s="7" t="str">
        <f>CONCATENATE("6 6.1 2b")</f>
        <v>6 6.1 2b</v>
      </c>
      <c r="M7" s="7" t="str">
        <f>CONCATENATE("01909630434")</f>
        <v>01909630434</v>
      </c>
      <c r="N7" s="7" t="s">
        <v>57</v>
      </c>
      <c r="O7" s="7" t="s">
        <v>58</v>
      </c>
      <c r="P7" s="8">
        <v>44539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40740</v>
      </c>
      <c r="W7" s="9">
        <v>17567.09</v>
      </c>
      <c r="X7" s="9">
        <v>16222.67</v>
      </c>
      <c r="Y7" s="7">
        <v>0</v>
      </c>
      <c r="Z7" s="9">
        <v>6950.24</v>
      </c>
    </row>
    <row r="8" spans="1:26" x14ac:dyDescent="0.35">
      <c r="A8" s="7" t="s">
        <v>27</v>
      </c>
      <c r="B8" s="7" t="s">
        <v>44</v>
      </c>
      <c r="C8" s="7" t="s">
        <v>47</v>
      </c>
      <c r="D8" s="7" t="s">
        <v>47</v>
      </c>
      <c r="E8" s="7" t="s">
        <v>43</v>
      </c>
      <c r="F8" s="7" t="s">
        <v>43</v>
      </c>
      <c r="G8" s="7">
        <v>2017</v>
      </c>
      <c r="H8" s="7" t="str">
        <f>CONCATENATE("14270327027")</f>
        <v>14270327027</v>
      </c>
      <c r="I8" s="7" t="s">
        <v>30</v>
      </c>
      <c r="J8" s="7" t="s">
        <v>31</v>
      </c>
      <c r="K8" s="7" t="str">
        <f>CONCATENATE("")</f>
        <v/>
      </c>
      <c r="L8" s="7" t="str">
        <f>CONCATENATE("19 19.2 6b")</f>
        <v>19 19.2 6b</v>
      </c>
      <c r="M8" s="7" t="str">
        <f>CONCATENATE("00129020418")</f>
        <v>00129020418</v>
      </c>
      <c r="N8" s="7" t="s">
        <v>59</v>
      </c>
      <c r="O8" s="7" t="s">
        <v>60</v>
      </c>
      <c r="P8" s="8">
        <v>44532</v>
      </c>
      <c r="Q8" s="7" t="s">
        <v>32</v>
      </c>
      <c r="R8" s="7" t="s">
        <v>46</v>
      </c>
      <c r="S8" s="7" t="s">
        <v>34</v>
      </c>
      <c r="T8" s="7"/>
      <c r="U8" s="7" t="s">
        <v>35</v>
      </c>
      <c r="V8" s="9">
        <v>45957.87</v>
      </c>
      <c r="W8" s="9">
        <v>19817.03</v>
      </c>
      <c r="X8" s="9">
        <v>18300.419999999998</v>
      </c>
      <c r="Y8" s="7">
        <v>0</v>
      </c>
      <c r="Z8" s="9">
        <v>7840.42</v>
      </c>
    </row>
    <row r="9" spans="1:26" x14ac:dyDescent="0.35">
      <c r="A9" s="7" t="s">
        <v>27</v>
      </c>
      <c r="B9" s="7" t="s">
        <v>44</v>
      </c>
      <c r="C9" s="7" t="s">
        <v>47</v>
      </c>
      <c r="D9" s="7" t="s">
        <v>47</v>
      </c>
      <c r="E9" s="7" t="s">
        <v>43</v>
      </c>
      <c r="F9" s="7" t="s">
        <v>43</v>
      </c>
      <c r="G9" s="7">
        <v>2017</v>
      </c>
      <c r="H9" s="7" t="str">
        <f>CONCATENATE("14270334023")</f>
        <v>14270334023</v>
      </c>
      <c r="I9" s="7" t="s">
        <v>30</v>
      </c>
      <c r="J9" s="7" t="s">
        <v>31</v>
      </c>
      <c r="K9" s="7" t="str">
        <f>CONCATENATE("")</f>
        <v/>
      </c>
      <c r="L9" s="7" t="str">
        <f>CONCATENATE("19 19.2 6b")</f>
        <v>19 19.2 6b</v>
      </c>
      <c r="M9" s="7" t="str">
        <f>CONCATENATE("82005350416")</f>
        <v>82005350416</v>
      </c>
      <c r="N9" s="7" t="s">
        <v>61</v>
      </c>
      <c r="O9" s="7" t="s">
        <v>62</v>
      </c>
      <c r="P9" s="8">
        <v>44537</v>
      </c>
      <c r="Q9" s="7" t="s">
        <v>32</v>
      </c>
      <c r="R9" s="7" t="s">
        <v>46</v>
      </c>
      <c r="S9" s="7" t="s">
        <v>34</v>
      </c>
      <c r="T9" s="7"/>
      <c r="U9" s="7" t="s">
        <v>35</v>
      </c>
      <c r="V9" s="9">
        <v>26867.93</v>
      </c>
      <c r="W9" s="9">
        <v>11585.45</v>
      </c>
      <c r="X9" s="9">
        <v>10698.81</v>
      </c>
      <c r="Y9" s="7">
        <v>0</v>
      </c>
      <c r="Z9" s="9">
        <v>4583.67</v>
      </c>
    </row>
    <row r="10" spans="1:26" x14ac:dyDescent="0.35">
      <c r="A10" s="7" t="s">
        <v>27</v>
      </c>
      <c r="B10" s="7" t="s">
        <v>44</v>
      </c>
      <c r="C10" s="7" t="s">
        <v>47</v>
      </c>
      <c r="D10" s="7" t="s">
        <v>63</v>
      </c>
      <c r="E10" s="7" t="s">
        <v>43</v>
      </c>
      <c r="F10" s="7" t="s">
        <v>43</v>
      </c>
      <c r="G10" s="7">
        <v>2017</v>
      </c>
      <c r="H10" s="7" t="str">
        <f>CONCATENATE("14270341036")</f>
        <v>14270341036</v>
      </c>
      <c r="I10" s="7" t="s">
        <v>30</v>
      </c>
      <c r="J10" s="7" t="s">
        <v>31</v>
      </c>
      <c r="K10" s="7" t="str">
        <f>CONCATENATE("")</f>
        <v/>
      </c>
      <c r="L10" s="7" t="str">
        <f>CONCATENATE("4 4.1 2a")</f>
        <v>4 4.1 2a</v>
      </c>
      <c r="M10" s="7" t="str">
        <f>CONCATENATE("BRGGNE97H02D488V")</f>
        <v>BRGGNE97H02D488V</v>
      </c>
      <c r="N10" s="7" t="s">
        <v>64</v>
      </c>
      <c r="O10" s="7" t="s">
        <v>65</v>
      </c>
      <c r="P10" s="8">
        <v>44539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30603.41</v>
      </c>
      <c r="W10" s="9">
        <v>13196.19</v>
      </c>
      <c r="X10" s="9">
        <v>12186.28</v>
      </c>
      <c r="Y10" s="7">
        <v>0</v>
      </c>
      <c r="Z10" s="9">
        <v>5220.9399999999996</v>
      </c>
    </row>
    <row r="11" spans="1:26" x14ac:dyDescent="0.35">
      <c r="A11" s="7" t="s">
        <v>27</v>
      </c>
      <c r="B11" s="7" t="s">
        <v>44</v>
      </c>
      <c r="C11" s="7" t="s">
        <v>47</v>
      </c>
      <c r="D11" s="7" t="s">
        <v>47</v>
      </c>
      <c r="E11" s="7" t="s">
        <v>43</v>
      </c>
      <c r="F11" s="7" t="s">
        <v>43</v>
      </c>
      <c r="G11" s="7">
        <v>2017</v>
      </c>
      <c r="H11" s="7" t="str">
        <f>CONCATENATE("14270327001")</f>
        <v>14270327001</v>
      </c>
      <c r="I11" s="7" t="s">
        <v>30</v>
      </c>
      <c r="J11" s="7" t="s">
        <v>31</v>
      </c>
      <c r="K11" s="7" t="str">
        <f>CONCATENATE("")</f>
        <v/>
      </c>
      <c r="L11" s="7" t="str">
        <f>CONCATENATE("19 19.2 6b")</f>
        <v>19 19.2 6b</v>
      </c>
      <c r="M11" s="7" t="str">
        <f>CONCATENATE("81001630417")</f>
        <v>81001630417</v>
      </c>
      <c r="N11" s="7" t="s">
        <v>66</v>
      </c>
      <c r="O11" s="7" t="s">
        <v>60</v>
      </c>
      <c r="P11" s="8">
        <v>44532</v>
      </c>
      <c r="Q11" s="7" t="s">
        <v>32</v>
      </c>
      <c r="R11" s="7" t="s">
        <v>46</v>
      </c>
      <c r="S11" s="7" t="s">
        <v>34</v>
      </c>
      <c r="T11" s="7"/>
      <c r="U11" s="7" t="s">
        <v>35</v>
      </c>
      <c r="V11" s="9">
        <v>34703.15</v>
      </c>
      <c r="W11" s="9">
        <v>14964</v>
      </c>
      <c r="X11" s="9">
        <v>13818.79</v>
      </c>
      <c r="Y11" s="7">
        <v>0</v>
      </c>
      <c r="Z11" s="9">
        <v>5920.36</v>
      </c>
    </row>
    <row r="12" spans="1:26" x14ac:dyDescent="0.35">
      <c r="A12" s="7" t="s">
        <v>27</v>
      </c>
      <c r="B12" s="7" t="s">
        <v>44</v>
      </c>
      <c r="C12" s="7" t="s">
        <v>47</v>
      </c>
      <c r="D12" s="7" t="s">
        <v>47</v>
      </c>
      <c r="E12" s="7" t="s">
        <v>43</v>
      </c>
      <c r="F12" s="7" t="s">
        <v>43</v>
      </c>
      <c r="G12" s="7">
        <v>2017</v>
      </c>
      <c r="H12" s="7" t="str">
        <f>CONCATENATE("14270327019")</f>
        <v>14270327019</v>
      </c>
      <c r="I12" s="7" t="s">
        <v>30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CONCATENATE("81001610419")</f>
        <v>81001610419</v>
      </c>
      <c r="N12" s="7" t="s">
        <v>67</v>
      </c>
      <c r="O12" s="7" t="s">
        <v>60</v>
      </c>
      <c r="P12" s="8">
        <v>44532</v>
      </c>
      <c r="Q12" s="7" t="s">
        <v>32</v>
      </c>
      <c r="R12" s="7" t="s">
        <v>46</v>
      </c>
      <c r="S12" s="7" t="s">
        <v>34</v>
      </c>
      <c r="T12" s="7"/>
      <c r="U12" s="7" t="s">
        <v>35</v>
      </c>
      <c r="V12" s="9">
        <v>24496.21</v>
      </c>
      <c r="W12" s="9">
        <v>10562.77</v>
      </c>
      <c r="X12" s="9">
        <v>9754.39</v>
      </c>
      <c r="Y12" s="7">
        <v>0</v>
      </c>
      <c r="Z12" s="9">
        <v>4179.05</v>
      </c>
    </row>
    <row r="13" spans="1:26" x14ac:dyDescent="0.35">
      <c r="A13" s="7" t="s">
        <v>27</v>
      </c>
      <c r="B13" s="7" t="s">
        <v>44</v>
      </c>
      <c r="C13" s="7" t="s">
        <v>47</v>
      </c>
      <c r="D13" s="7" t="s">
        <v>47</v>
      </c>
      <c r="E13" s="7" t="s">
        <v>43</v>
      </c>
      <c r="F13" s="7" t="s">
        <v>43</v>
      </c>
      <c r="G13" s="7">
        <v>2017</v>
      </c>
      <c r="H13" s="7" t="str">
        <f>CONCATENATE("14270326995")</f>
        <v>14270326995</v>
      </c>
      <c r="I13" s="7" t="s">
        <v>30</v>
      </c>
      <c r="J13" s="7" t="s">
        <v>31</v>
      </c>
      <c r="K13" s="7" t="str">
        <f>CONCATENATE("")</f>
        <v/>
      </c>
      <c r="L13" s="7" t="str">
        <f>CONCATENATE("19 19.2 6b")</f>
        <v>19 19.2 6b</v>
      </c>
      <c r="M13" s="7" t="str">
        <f>CONCATENATE("00360630412")</f>
        <v>00360630412</v>
      </c>
      <c r="N13" s="7" t="s">
        <v>68</v>
      </c>
      <c r="O13" s="7" t="s">
        <v>60</v>
      </c>
      <c r="P13" s="8">
        <v>44532</v>
      </c>
      <c r="Q13" s="7" t="s">
        <v>32</v>
      </c>
      <c r="R13" s="7" t="s">
        <v>46</v>
      </c>
      <c r="S13" s="7" t="s">
        <v>34</v>
      </c>
      <c r="T13" s="7"/>
      <c r="U13" s="7" t="s">
        <v>35</v>
      </c>
      <c r="V13" s="9">
        <v>31492.31</v>
      </c>
      <c r="W13" s="9">
        <v>13579.48</v>
      </c>
      <c r="X13" s="9">
        <v>12540.24</v>
      </c>
      <c r="Y13" s="7">
        <v>0</v>
      </c>
      <c r="Z13" s="9">
        <v>5372.59</v>
      </c>
    </row>
    <row r="14" spans="1:26" x14ac:dyDescent="0.35">
      <c r="A14" s="7" t="s">
        <v>27</v>
      </c>
      <c r="B14" s="7" t="s">
        <v>44</v>
      </c>
      <c r="C14" s="7" t="s">
        <v>47</v>
      </c>
      <c r="D14" s="7" t="s">
        <v>47</v>
      </c>
      <c r="E14" s="7" t="s">
        <v>43</v>
      </c>
      <c r="F14" s="7" t="s">
        <v>43</v>
      </c>
      <c r="G14" s="7">
        <v>2017</v>
      </c>
      <c r="H14" s="7" t="str">
        <f>CONCATENATE("14270329064")</f>
        <v>14270329064</v>
      </c>
      <c r="I14" s="7" t="s">
        <v>30</v>
      </c>
      <c r="J14" s="7" t="s">
        <v>31</v>
      </c>
      <c r="K14" s="7" t="str">
        <f>CONCATENATE("")</f>
        <v/>
      </c>
      <c r="L14" s="7" t="str">
        <f>CONCATENATE("19 19.2 6b")</f>
        <v>19 19.2 6b</v>
      </c>
      <c r="M14" s="7" t="str">
        <f>CONCATENATE("81001790419")</f>
        <v>81001790419</v>
      </c>
      <c r="N14" s="7" t="s">
        <v>69</v>
      </c>
      <c r="O14" s="7" t="s">
        <v>60</v>
      </c>
      <c r="P14" s="8">
        <v>44532</v>
      </c>
      <c r="Q14" s="7" t="s">
        <v>32</v>
      </c>
      <c r="R14" s="7" t="s">
        <v>46</v>
      </c>
      <c r="S14" s="7" t="s">
        <v>34</v>
      </c>
      <c r="T14" s="7"/>
      <c r="U14" s="7" t="s">
        <v>35</v>
      </c>
      <c r="V14" s="9">
        <v>30981.33</v>
      </c>
      <c r="W14" s="9">
        <v>13359.15</v>
      </c>
      <c r="X14" s="9">
        <v>12336.77</v>
      </c>
      <c r="Y14" s="7">
        <v>0</v>
      </c>
      <c r="Z14" s="9">
        <v>5285.41</v>
      </c>
    </row>
    <row r="15" spans="1:26" x14ac:dyDescent="0.35">
      <c r="A15" s="7" t="s">
        <v>27</v>
      </c>
      <c r="B15" s="7" t="s">
        <v>44</v>
      </c>
      <c r="C15" s="7" t="s">
        <v>47</v>
      </c>
      <c r="D15" s="7" t="s">
        <v>47</v>
      </c>
      <c r="E15" s="7" t="s">
        <v>43</v>
      </c>
      <c r="F15" s="7" t="s">
        <v>43</v>
      </c>
      <c r="G15" s="7">
        <v>2017</v>
      </c>
      <c r="H15" s="7" t="str">
        <f>CONCATENATE("14270326987")</f>
        <v>14270326987</v>
      </c>
      <c r="I15" s="7" t="s">
        <v>30</v>
      </c>
      <c r="J15" s="7" t="s">
        <v>31</v>
      </c>
      <c r="K15" s="7" t="str">
        <f>CONCATENATE("")</f>
        <v/>
      </c>
      <c r="L15" s="7" t="str">
        <f>CONCATENATE("19 19.2 6b")</f>
        <v>19 19.2 6b</v>
      </c>
      <c r="M15" s="7" t="str">
        <f>CONCATENATE("81003370418")</f>
        <v>81003370418</v>
      </c>
      <c r="N15" s="7" t="s">
        <v>70</v>
      </c>
      <c r="O15" s="7" t="s">
        <v>60</v>
      </c>
      <c r="P15" s="8">
        <v>44532</v>
      </c>
      <c r="Q15" s="7" t="s">
        <v>32</v>
      </c>
      <c r="R15" s="7" t="s">
        <v>46</v>
      </c>
      <c r="S15" s="7" t="s">
        <v>34</v>
      </c>
      <c r="T15" s="7"/>
      <c r="U15" s="7" t="s">
        <v>35</v>
      </c>
      <c r="V15" s="9">
        <v>40703.800000000003</v>
      </c>
      <c r="W15" s="9">
        <v>17551.48</v>
      </c>
      <c r="X15" s="9">
        <v>16208.25</v>
      </c>
      <c r="Y15" s="7">
        <v>0</v>
      </c>
      <c r="Z15" s="9">
        <v>6944.07</v>
      </c>
    </row>
    <row r="16" spans="1:26" x14ac:dyDescent="0.35">
      <c r="A16" s="7" t="s">
        <v>27</v>
      </c>
      <c r="B16" s="7" t="s">
        <v>44</v>
      </c>
      <c r="C16" s="7" t="s">
        <v>47</v>
      </c>
      <c r="D16" s="7" t="s">
        <v>47</v>
      </c>
      <c r="E16" s="7" t="s">
        <v>43</v>
      </c>
      <c r="F16" s="7" t="s">
        <v>43</v>
      </c>
      <c r="G16" s="7">
        <v>2017</v>
      </c>
      <c r="H16" s="7" t="str">
        <f>CONCATENATE("14270339329")</f>
        <v>14270339329</v>
      </c>
      <c r="I16" s="7" t="s">
        <v>30</v>
      </c>
      <c r="J16" s="7" t="s">
        <v>31</v>
      </c>
      <c r="K16" s="7" t="str">
        <f>CONCATENATE("")</f>
        <v/>
      </c>
      <c r="L16" s="7" t="str">
        <f>CONCATENATE("19 19.2 6b")</f>
        <v>19 19.2 6b</v>
      </c>
      <c r="M16" s="7" t="str">
        <f>CONCATENATE("81001750447")</f>
        <v>81001750447</v>
      </c>
      <c r="N16" s="7" t="s">
        <v>71</v>
      </c>
      <c r="O16" s="7" t="s">
        <v>51</v>
      </c>
      <c r="P16" s="8">
        <v>44537</v>
      </c>
      <c r="Q16" s="7" t="s">
        <v>32</v>
      </c>
      <c r="R16" s="7" t="s">
        <v>46</v>
      </c>
      <c r="S16" s="7" t="s">
        <v>34</v>
      </c>
      <c r="T16" s="7"/>
      <c r="U16" s="7" t="s">
        <v>35</v>
      </c>
      <c r="V16" s="9">
        <v>45000</v>
      </c>
      <c r="W16" s="9">
        <v>19404</v>
      </c>
      <c r="X16" s="9">
        <v>17919</v>
      </c>
      <c r="Y16" s="7">
        <v>0</v>
      </c>
      <c r="Z16" s="9">
        <v>7677</v>
      </c>
    </row>
    <row r="17" spans="1:26" x14ac:dyDescent="0.35">
      <c r="A17" s="7" t="s">
        <v>27</v>
      </c>
      <c r="B17" s="7" t="s">
        <v>44</v>
      </c>
      <c r="C17" s="7" t="s">
        <v>47</v>
      </c>
      <c r="D17" s="7" t="s">
        <v>47</v>
      </c>
      <c r="E17" s="7" t="s">
        <v>43</v>
      </c>
      <c r="F17" s="7" t="s">
        <v>43</v>
      </c>
      <c r="G17" s="7">
        <v>2017</v>
      </c>
      <c r="H17" s="7" t="str">
        <f>CONCATENATE("14270339311")</f>
        <v>14270339311</v>
      </c>
      <c r="I17" s="7" t="s">
        <v>30</v>
      </c>
      <c r="J17" s="7" t="s">
        <v>31</v>
      </c>
      <c r="K17" s="7" t="str">
        <f>CONCATENATE("")</f>
        <v/>
      </c>
      <c r="L17" s="7" t="str">
        <f>CONCATENATE("19 19.2 6b")</f>
        <v>19 19.2 6b</v>
      </c>
      <c r="M17" s="7" t="str">
        <f>CONCATENATE("81000670448")</f>
        <v>81000670448</v>
      </c>
      <c r="N17" s="7" t="s">
        <v>72</v>
      </c>
      <c r="O17" s="7" t="s">
        <v>51</v>
      </c>
      <c r="P17" s="8">
        <v>44537</v>
      </c>
      <c r="Q17" s="7" t="s">
        <v>32</v>
      </c>
      <c r="R17" s="7" t="s">
        <v>46</v>
      </c>
      <c r="S17" s="7" t="s">
        <v>34</v>
      </c>
      <c r="T17" s="7"/>
      <c r="U17" s="7" t="s">
        <v>35</v>
      </c>
      <c r="V17" s="9">
        <v>36215.550000000003</v>
      </c>
      <c r="W17" s="9">
        <v>15616.15</v>
      </c>
      <c r="X17" s="9">
        <v>14421.03</v>
      </c>
      <c r="Y17" s="7">
        <v>0</v>
      </c>
      <c r="Z17" s="9">
        <v>6178.37</v>
      </c>
    </row>
    <row r="18" spans="1:26" x14ac:dyDescent="0.35">
      <c r="A18" s="7" t="s">
        <v>27</v>
      </c>
      <c r="B18" s="7" t="s">
        <v>44</v>
      </c>
      <c r="C18" s="7" t="s">
        <v>47</v>
      </c>
      <c r="D18" s="7" t="s">
        <v>52</v>
      </c>
      <c r="E18" s="7" t="s">
        <v>41</v>
      </c>
      <c r="F18" s="7" t="s">
        <v>73</v>
      </c>
      <c r="G18" s="7">
        <v>2017</v>
      </c>
      <c r="H18" s="7" t="str">
        <f>CONCATENATE("14270338040")</f>
        <v>14270338040</v>
      </c>
      <c r="I18" s="7" t="s">
        <v>30</v>
      </c>
      <c r="J18" s="7" t="s">
        <v>31</v>
      </c>
      <c r="K18" s="7" t="str">
        <f>CONCATENATE("")</f>
        <v/>
      </c>
      <c r="L18" s="7" t="str">
        <f>CONCATENATE("1 1.2 2a")</f>
        <v>1 1.2 2a</v>
      </c>
      <c r="M18" s="7" t="str">
        <f>CONCATENATE("02043720446")</f>
        <v>02043720446</v>
      </c>
      <c r="N18" s="7" t="s">
        <v>74</v>
      </c>
      <c r="O18" s="7" t="s">
        <v>75</v>
      </c>
      <c r="P18" s="8">
        <v>44537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57023.44</v>
      </c>
      <c r="W18" s="9">
        <v>24588.51</v>
      </c>
      <c r="X18" s="9">
        <v>22706.73</v>
      </c>
      <c r="Y18" s="7">
        <v>0</v>
      </c>
      <c r="Z18" s="9">
        <v>9728.2000000000007</v>
      </c>
    </row>
    <row r="19" spans="1:26" ht="17.5" x14ac:dyDescent="0.35">
      <c r="A19" s="7" t="s">
        <v>27</v>
      </c>
      <c r="B19" s="7" t="s">
        <v>44</v>
      </c>
      <c r="C19" s="7" t="s">
        <v>47</v>
      </c>
      <c r="D19" s="7" t="s">
        <v>76</v>
      </c>
      <c r="E19" s="7" t="s">
        <v>36</v>
      </c>
      <c r="F19" s="7" t="s">
        <v>77</v>
      </c>
      <c r="G19" s="7">
        <v>2017</v>
      </c>
      <c r="H19" s="7" t="str">
        <f>CONCATENATE("14270338065")</f>
        <v>14270338065</v>
      </c>
      <c r="I19" s="7" t="s">
        <v>30</v>
      </c>
      <c r="J19" s="7" t="s">
        <v>31</v>
      </c>
      <c r="K19" s="7" t="str">
        <f>CONCATENATE("")</f>
        <v/>
      </c>
      <c r="L19" s="7" t="str">
        <f>CONCATENATE("1 1.2 2a")</f>
        <v>1 1.2 2a</v>
      </c>
      <c r="M19" s="7" t="str">
        <f>CONCATENATE("01393680440")</f>
        <v>01393680440</v>
      </c>
      <c r="N19" s="7" t="s">
        <v>78</v>
      </c>
      <c r="O19" s="7" t="s">
        <v>75</v>
      </c>
      <c r="P19" s="8">
        <v>44537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53417.74</v>
      </c>
      <c r="W19" s="9">
        <v>23033.73</v>
      </c>
      <c r="X19" s="9">
        <v>21270.94</v>
      </c>
      <c r="Y19" s="7">
        <v>0</v>
      </c>
      <c r="Z19" s="9">
        <v>9113.07</v>
      </c>
    </row>
    <row r="20" spans="1:26" x14ac:dyDescent="0.35">
      <c r="A20" s="7" t="s">
        <v>27</v>
      </c>
      <c r="B20" s="7" t="s">
        <v>44</v>
      </c>
      <c r="C20" s="7" t="s">
        <v>47</v>
      </c>
      <c r="D20" s="7" t="s">
        <v>56</v>
      </c>
      <c r="E20" s="7" t="s">
        <v>43</v>
      </c>
      <c r="F20" s="7" t="s">
        <v>43</v>
      </c>
      <c r="G20" s="7">
        <v>2017</v>
      </c>
      <c r="H20" s="7" t="str">
        <f>CONCATENATE("14270339428")</f>
        <v>14270339428</v>
      </c>
      <c r="I20" s="7" t="s">
        <v>30</v>
      </c>
      <c r="J20" s="7" t="s">
        <v>31</v>
      </c>
      <c r="K20" s="7" t="str">
        <f>CONCATENATE("")</f>
        <v/>
      </c>
      <c r="L20" s="7" t="str">
        <f>CONCATENATE("4 4.1 2a")</f>
        <v>4 4.1 2a</v>
      </c>
      <c r="M20" s="7" t="str">
        <f>CONCATENATE("00339560435")</f>
        <v>00339560435</v>
      </c>
      <c r="N20" s="7" t="s">
        <v>79</v>
      </c>
      <c r="O20" s="7" t="s">
        <v>80</v>
      </c>
      <c r="P20" s="8">
        <v>44537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16807.2</v>
      </c>
      <c r="W20" s="9">
        <v>7247.26</v>
      </c>
      <c r="X20" s="9">
        <v>6692.63</v>
      </c>
      <c r="Y20" s="7">
        <v>0</v>
      </c>
      <c r="Z20" s="9">
        <v>2867.31</v>
      </c>
    </row>
    <row r="21" spans="1:26" x14ac:dyDescent="0.35">
      <c r="A21" s="7" t="s">
        <v>27</v>
      </c>
      <c r="B21" s="7" t="s">
        <v>44</v>
      </c>
      <c r="C21" s="7" t="s">
        <v>47</v>
      </c>
      <c r="D21" s="7" t="s">
        <v>76</v>
      </c>
      <c r="E21" s="7" t="s">
        <v>42</v>
      </c>
      <c r="F21" s="7" t="s">
        <v>81</v>
      </c>
      <c r="G21" s="7">
        <v>2017</v>
      </c>
      <c r="H21" s="7" t="str">
        <f>CONCATENATE("14270340772")</f>
        <v>14270340772</v>
      </c>
      <c r="I21" s="7" t="s">
        <v>30</v>
      </c>
      <c r="J21" s="7" t="s">
        <v>31</v>
      </c>
      <c r="K21" s="7" t="str">
        <f>CONCATENATE("")</f>
        <v/>
      </c>
      <c r="L21" s="7" t="str">
        <f>CONCATENATE("6 6.1 2b")</f>
        <v>6 6.1 2b</v>
      </c>
      <c r="M21" s="7" t="str">
        <f>CONCATENATE("FRNMRA91L25D542G")</f>
        <v>FRNMRA91L25D542G</v>
      </c>
      <c r="N21" s="7" t="s">
        <v>82</v>
      </c>
      <c r="O21" s="7" t="s">
        <v>83</v>
      </c>
      <c r="P21" s="8">
        <v>44539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35000</v>
      </c>
      <c r="W21" s="9">
        <v>15092</v>
      </c>
      <c r="X21" s="9">
        <v>13937</v>
      </c>
      <c r="Y21" s="7">
        <v>0</v>
      </c>
      <c r="Z21" s="9">
        <v>5971</v>
      </c>
    </row>
    <row r="22" spans="1:26" x14ac:dyDescent="0.35">
      <c r="A22" s="7" t="s">
        <v>27</v>
      </c>
      <c r="B22" s="7" t="s">
        <v>44</v>
      </c>
      <c r="C22" s="7" t="s">
        <v>47</v>
      </c>
      <c r="D22" s="7" t="s">
        <v>56</v>
      </c>
      <c r="E22" s="7" t="s">
        <v>29</v>
      </c>
      <c r="F22" s="7" t="s">
        <v>84</v>
      </c>
      <c r="G22" s="7">
        <v>2017</v>
      </c>
      <c r="H22" s="7" t="str">
        <f>CONCATENATE("14270340046")</f>
        <v>14270340046</v>
      </c>
      <c r="I22" s="7" t="s">
        <v>30</v>
      </c>
      <c r="J22" s="7" t="s">
        <v>31</v>
      </c>
      <c r="K22" s="7" t="str">
        <f>CONCATENATE("")</f>
        <v/>
      </c>
      <c r="L22" s="7" t="str">
        <f>CONCATENATE("4 4.1 2a")</f>
        <v>4 4.1 2a</v>
      </c>
      <c r="M22" s="7" t="str">
        <f>CONCATENATE("FRNMRC82T21I156H")</f>
        <v>FRNMRC82T21I156H</v>
      </c>
      <c r="N22" s="7" t="s">
        <v>85</v>
      </c>
      <c r="O22" s="7" t="s">
        <v>86</v>
      </c>
      <c r="P22" s="8">
        <v>44539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82261.350000000006</v>
      </c>
      <c r="W22" s="9">
        <v>35471.089999999997</v>
      </c>
      <c r="X22" s="9">
        <v>32756.47</v>
      </c>
      <c r="Y22" s="7">
        <v>0</v>
      </c>
      <c r="Z22" s="9">
        <v>14033.79</v>
      </c>
    </row>
    <row r="23" spans="1:26" x14ac:dyDescent="0.35">
      <c r="A23" s="7" t="s">
        <v>27</v>
      </c>
      <c r="B23" s="7" t="s">
        <v>44</v>
      </c>
      <c r="C23" s="7" t="s">
        <v>47</v>
      </c>
      <c r="D23" s="7" t="s">
        <v>76</v>
      </c>
      <c r="E23" s="7" t="s">
        <v>42</v>
      </c>
      <c r="F23" s="7" t="s">
        <v>81</v>
      </c>
      <c r="G23" s="7">
        <v>2017</v>
      </c>
      <c r="H23" s="7" t="str">
        <f>CONCATENATE("14270340764")</f>
        <v>14270340764</v>
      </c>
      <c r="I23" s="7" t="s">
        <v>30</v>
      </c>
      <c r="J23" s="7" t="s">
        <v>31</v>
      </c>
      <c r="K23" s="7" t="str">
        <f>CONCATENATE("")</f>
        <v/>
      </c>
      <c r="L23" s="7" t="str">
        <f>CONCATENATE("6 6.1 2b")</f>
        <v>6 6.1 2b</v>
      </c>
      <c r="M23" s="7" t="str">
        <f>CONCATENATE("02260890443")</f>
        <v>02260890443</v>
      </c>
      <c r="N23" s="7" t="s">
        <v>87</v>
      </c>
      <c r="O23" s="7" t="s">
        <v>83</v>
      </c>
      <c r="P23" s="8">
        <v>44539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10500</v>
      </c>
      <c r="W23" s="9">
        <v>4527.6000000000004</v>
      </c>
      <c r="X23" s="9">
        <v>4181.1000000000004</v>
      </c>
      <c r="Y23" s="7">
        <v>0</v>
      </c>
      <c r="Z23" s="9">
        <v>1791.3</v>
      </c>
    </row>
    <row r="24" spans="1:26" x14ac:dyDescent="0.35">
      <c r="A24" s="7" t="s">
        <v>27</v>
      </c>
      <c r="B24" s="7" t="s">
        <v>44</v>
      </c>
      <c r="C24" s="7" t="s">
        <v>47</v>
      </c>
      <c r="D24" s="7" t="s">
        <v>52</v>
      </c>
      <c r="E24" s="7" t="s">
        <v>36</v>
      </c>
      <c r="F24" s="7" t="s">
        <v>53</v>
      </c>
      <c r="G24" s="7">
        <v>2017</v>
      </c>
      <c r="H24" s="7" t="str">
        <f>CONCATENATE("14270338057")</f>
        <v>14270338057</v>
      </c>
      <c r="I24" s="7" t="s">
        <v>40</v>
      </c>
      <c r="J24" s="7" t="s">
        <v>31</v>
      </c>
      <c r="K24" s="7" t="str">
        <f>CONCATENATE("")</f>
        <v/>
      </c>
      <c r="L24" s="7" t="str">
        <f>CONCATENATE("1 1.2 2a")</f>
        <v>1 1.2 2a</v>
      </c>
      <c r="M24" s="7" t="str">
        <f>CONCATENATE("80019550427")</f>
        <v>80019550427</v>
      </c>
      <c r="N24" s="7" t="s">
        <v>88</v>
      </c>
      <c r="O24" s="7" t="s">
        <v>75</v>
      </c>
      <c r="P24" s="8">
        <v>44537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28455.02</v>
      </c>
      <c r="W24" s="9">
        <v>12269.8</v>
      </c>
      <c r="X24" s="9">
        <v>11330.79</v>
      </c>
      <c r="Y24" s="7">
        <v>0</v>
      </c>
      <c r="Z24" s="9">
        <v>4854.43</v>
      </c>
    </row>
    <row r="25" spans="1:26" x14ac:dyDescent="0.35">
      <c r="A25" s="7" t="s">
        <v>27</v>
      </c>
      <c r="B25" s="7" t="s">
        <v>44</v>
      </c>
      <c r="C25" s="7" t="s">
        <v>47</v>
      </c>
      <c r="D25" s="7" t="s">
        <v>76</v>
      </c>
      <c r="E25" s="7" t="s">
        <v>42</v>
      </c>
      <c r="F25" s="7" t="s">
        <v>81</v>
      </c>
      <c r="G25" s="7">
        <v>2017</v>
      </c>
      <c r="H25" s="7" t="str">
        <f>CONCATENATE("14270340798")</f>
        <v>14270340798</v>
      </c>
      <c r="I25" s="7" t="s">
        <v>30</v>
      </c>
      <c r="J25" s="7" t="s">
        <v>31</v>
      </c>
      <c r="K25" s="7" t="str">
        <f>CONCATENATE("")</f>
        <v/>
      </c>
      <c r="L25" s="7" t="str">
        <f>CONCATENATE("4 4.1 2a")</f>
        <v>4 4.1 2a</v>
      </c>
      <c r="M25" s="7" t="str">
        <f>CONCATENATE("FRNMRA91L25D542G")</f>
        <v>FRNMRA91L25D542G</v>
      </c>
      <c r="N25" s="7" t="s">
        <v>82</v>
      </c>
      <c r="O25" s="7" t="s">
        <v>89</v>
      </c>
      <c r="P25" s="8">
        <v>44539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38619.82</v>
      </c>
      <c r="W25" s="9">
        <v>16652.87</v>
      </c>
      <c r="X25" s="9">
        <v>15378.41</v>
      </c>
      <c r="Y25" s="7">
        <v>0</v>
      </c>
      <c r="Z25" s="9">
        <v>6588.54</v>
      </c>
    </row>
    <row r="26" spans="1:26" x14ac:dyDescent="0.35">
      <c r="A26" s="7" t="s">
        <v>27</v>
      </c>
      <c r="B26" s="7" t="s">
        <v>44</v>
      </c>
      <c r="C26" s="7" t="s">
        <v>47</v>
      </c>
      <c r="D26" s="7" t="s">
        <v>76</v>
      </c>
      <c r="E26" s="7" t="s">
        <v>42</v>
      </c>
      <c r="F26" s="7" t="s">
        <v>81</v>
      </c>
      <c r="G26" s="7">
        <v>2017</v>
      </c>
      <c r="H26" s="7" t="str">
        <f>CONCATENATE("14270340780")</f>
        <v>14270340780</v>
      </c>
      <c r="I26" s="7" t="s">
        <v>30</v>
      </c>
      <c r="J26" s="7" t="s">
        <v>31</v>
      </c>
      <c r="K26" s="7" t="str">
        <f>CONCATENATE("")</f>
        <v/>
      </c>
      <c r="L26" s="7" t="str">
        <f>CONCATENATE("4 4.1 2a")</f>
        <v>4 4.1 2a</v>
      </c>
      <c r="M26" s="7" t="str">
        <f>CONCATENATE("02260890443")</f>
        <v>02260890443</v>
      </c>
      <c r="N26" s="7" t="s">
        <v>87</v>
      </c>
      <c r="O26" s="7" t="s">
        <v>89</v>
      </c>
      <c r="P26" s="8">
        <v>44539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156322.15</v>
      </c>
      <c r="W26" s="9">
        <v>67406.11</v>
      </c>
      <c r="X26" s="9">
        <v>62247.48</v>
      </c>
      <c r="Y26" s="7">
        <v>0</v>
      </c>
      <c r="Z26" s="9">
        <v>26668.560000000001</v>
      </c>
    </row>
    <row r="27" spans="1:26" x14ac:dyDescent="0.35">
      <c r="A27" s="7" t="s">
        <v>27</v>
      </c>
      <c r="B27" s="7" t="s">
        <v>44</v>
      </c>
      <c r="C27" s="7" t="s">
        <v>47</v>
      </c>
      <c r="D27" s="7" t="s">
        <v>56</v>
      </c>
      <c r="E27" s="7" t="s">
        <v>29</v>
      </c>
      <c r="F27" s="7" t="s">
        <v>84</v>
      </c>
      <c r="G27" s="7">
        <v>2017</v>
      </c>
      <c r="H27" s="7" t="str">
        <f>CONCATENATE("14270340053")</f>
        <v>14270340053</v>
      </c>
      <c r="I27" s="7" t="s">
        <v>30</v>
      </c>
      <c r="J27" s="7" t="s">
        <v>31</v>
      </c>
      <c r="K27" s="7" t="str">
        <f>CONCATENATE("")</f>
        <v/>
      </c>
      <c r="L27" s="7" t="str">
        <f>CONCATENATE("6 6.1 2b")</f>
        <v>6 6.1 2b</v>
      </c>
      <c r="M27" s="7" t="str">
        <f>CONCATENATE("FRNMRC82T21I156H")</f>
        <v>FRNMRC82T21I156H</v>
      </c>
      <c r="N27" s="7" t="s">
        <v>85</v>
      </c>
      <c r="O27" s="7" t="s">
        <v>90</v>
      </c>
      <c r="P27" s="8">
        <v>44539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15000</v>
      </c>
      <c r="W27" s="9">
        <v>6468</v>
      </c>
      <c r="X27" s="9">
        <v>5973</v>
      </c>
      <c r="Y27" s="7">
        <v>0</v>
      </c>
      <c r="Z27" s="9">
        <v>2559</v>
      </c>
    </row>
    <row r="28" spans="1:26" x14ac:dyDescent="0.35">
      <c r="A28" s="7" t="s">
        <v>27</v>
      </c>
      <c r="B28" s="7" t="s">
        <v>44</v>
      </c>
      <c r="C28" s="7" t="s">
        <v>47</v>
      </c>
      <c r="D28" s="7" t="s">
        <v>47</v>
      </c>
      <c r="E28" s="7" t="s">
        <v>43</v>
      </c>
      <c r="F28" s="7" t="s">
        <v>43</v>
      </c>
      <c r="G28" s="7">
        <v>2017</v>
      </c>
      <c r="H28" s="7" t="str">
        <f>CONCATENATE("14270339451")</f>
        <v>14270339451</v>
      </c>
      <c r="I28" s="7" t="s">
        <v>30</v>
      </c>
      <c r="J28" s="7" t="s">
        <v>31</v>
      </c>
      <c r="K28" s="7" t="str">
        <f>CONCATENATE("")</f>
        <v/>
      </c>
      <c r="L28" s="7" t="str">
        <f>CONCATENATE("19 19.2 6b")</f>
        <v>19 19.2 6b</v>
      </c>
      <c r="M28" s="7" t="str">
        <f>CONCATENATE("00269440434")</f>
        <v>00269440434</v>
      </c>
      <c r="N28" s="7" t="s">
        <v>91</v>
      </c>
      <c r="O28" s="7" t="s">
        <v>92</v>
      </c>
      <c r="P28" s="8">
        <v>44537</v>
      </c>
      <c r="Q28" s="7" t="s">
        <v>32</v>
      </c>
      <c r="R28" s="7" t="s">
        <v>46</v>
      </c>
      <c r="S28" s="7" t="s">
        <v>34</v>
      </c>
      <c r="T28" s="7"/>
      <c r="U28" s="7" t="s">
        <v>35</v>
      </c>
      <c r="V28" s="9">
        <v>27500</v>
      </c>
      <c r="W28" s="9">
        <v>11858</v>
      </c>
      <c r="X28" s="9">
        <v>10950.5</v>
      </c>
      <c r="Y28" s="7">
        <v>0</v>
      </c>
      <c r="Z28" s="9">
        <v>4691.5</v>
      </c>
    </row>
    <row r="29" spans="1:26" x14ac:dyDescent="0.35">
      <c r="A29" s="7" t="s">
        <v>27</v>
      </c>
      <c r="B29" s="7" t="s">
        <v>44</v>
      </c>
      <c r="C29" s="7" t="s">
        <v>47</v>
      </c>
      <c r="D29" s="7" t="s">
        <v>47</v>
      </c>
      <c r="E29" s="7" t="s">
        <v>43</v>
      </c>
      <c r="F29" s="7" t="s">
        <v>43</v>
      </c>
      <c r="G29" s="7">
        <v>2017</v>
      </c>
      <c r="H29" s="7" t="str">
        <f>CONCATENATE("14270339436")</f>
        <v>14270339436</v>
      </c>
      <c r="I29" s="7" t="s">
        <v>30</v>
      </c>
      <c r="J29" s="7" t="s">
        <v>31</v>
      </c>
      <c r="K29" s="7" t="str">
        <f>CONCATENATE("")</f>
        <v/>
      </c>
      <c r="L29" s="7" t="str">
        <f>CONCATENATE("19 19.2 6b")</f>
        <v>19 19.2 6b</v>
      </c>
      <c r="M29" s="7" t="str">
        <f>CONCATENATE("00244400438")</f>
        <v>00244400438</v>
      </c>
      <c r="N29" s="7" t="s">
        <v>93</v>
      </c>
      <c r="O29" s="7" t="s">
        <v>92</v>
      </c>
      <c r="P29" s="8">
        <v>44537</v>
      </c>
      <c r="Q29" s="7" t="s">
        <v>32</v>
      </c>
      <c r="R29" s="7" t="s">
        <v>46</v>
      </c>
      <c r="S29" s="7" t="s">
        <v>34</v>
      </c>
      <c r="T29" s="7"/>
      <c r="U29" s="7" t="s">
        <v>35</v>
      </c>
      <c r="V29" s="9">
        <v>52806.12</v>
      </c>
      <c r="W29" s="9">
        <v>22770</v>
      </c>
      <c r="X29" s="9">
        <v>21027.4</v>
      </c>
      <c r="Y29" s="7">
        <v>0</v>
      </c>
      <c r="Z29" s="9">
        <v>9008.7199999999993</v>
      </c>
    </row>
    <row r="30" spans="1:26" ht="17.5" x14ac:dyDescent="0.35">
      <c r="A30" s="7" t="s">
        <v>27</v>
      </c>
      <c r="B30" s="7" t="s">
        <v>44</v>
      </c>
      <c r="C30" s="7" t="s">
        <v>47</v>
      </c>
      <c r="D30" s="7" t="s">
        <v>52</v>
      </c>
      <c r="E30" s="7" t="s">
        <v>43</v>
      </c>
      <c r="F30" s="7" t="s">
        <v>43</v>
      </c>
      <c r="G30" s="7">
        <v>2017</v>
      </c>
      <c r="H30" s="7" t="str">
        <f>CONCATENATE("14270339485")</f>
        <v>14270339485</v>
      </c>
      <c r="I30" s="7" t="s">
        <v>30</v>
      </c>
      <c r="J30" s="7" t="s">
        <v>31</v>
      </c>
      <c r="K30" s="7" t="str">
        <f>CONCATENATE("")</f>
        <v/>
      </c>
      <c r="L30" s="7" t="str">
        <f>CONCATENATE("3 3.2 3a")</f>
        <v>3 3.2 3a</v>
      </c>
      <c r="M30" s="7" t="str">
        <f>CONCATENATE("93018000427")</f>
        <v>93018000427</v>
      </c>
      <c r="N30" s="7" t="s">
        <v>94</v>
      </c>
      <c r="O30" s="7" t="s">
        <v>95</v>
      </c>
      <c r="P30" s="8">
        <v>44539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64252.3</v>
      </c>
      <c r="W30" s="9">
        <v>27705.59</v>
      </c>
      <c r="X30" s="9">
        <v>25585.27</v>
      </c>
      <c r="Y30" s="7">
        <v>0</v>
      </c>
      <c r="Z30" s="9">
        <v>10961.44</v>
      </c>
    </row>
    <row r="31" spans="1:26" x14ac:dyDescent="0.35">
      <c r="A31" s="7" t="s">
        <v>27</v>
      </c>
      <c r="B31" s="7" t="s">
        <v>44</v>
      </c>
      <c r="C31" s="7" t="s">
        <v>47</v>
      </c>
      <c r="D31" s="7" t="s">
        <v>76</v>
      </c>
      <c r="E31" s="7" t="s">
        <v>29</v>
      </c>
      <c r="F31" s="7" t="s">
        <v>96</v>
      </c>
      <c r="G31" s="7">
        <v>2017</v>
      </c>
      <c r="H31" s="7" t="str">
        <f>CONCATENATE("14270338008")</f>
        <v>14270338008</v>
      </c>
      <c r="I31" s="7" t="s">
        <v>30</v>
      </c>
      <c r="J31" s="7" t="s">
        <v>31</v>
      </c>
      <c r="K31" s="7" t="str">
        <f>CONCATENATE("")</f>
        <v/>
      </c>
      <c r="L31" s="7" t="str">
        <f>CONCATENATE("4 4.4 4c")</f>
        <v>4 4.4 4c</v>
      </c>
      <c r="M31" s="7" t="str">
        <f>CONCATENATE("00705630440")</f>
        <v>00705630440</v>
      </c>
      <c r="N31" s="7" t="s">
        <v>97</v>
      </c>
      <c r="O31" s="7" t="s">
        <v>98</v>
      </c>
      <c r="P31" s="8">
        <v>44537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11385</v>
      </c>
      <c r="W31" s="9">
        <v>4909.21</v>
      </c>
      <c r="X31" s="9">
        <v>4533.51</v>
      </c>
      <c r="Y31" s="7">
        <v>0</v>
      </c>
      <c r="Z31" s="9">
        <v>1942.28</v>
      </c>
    </row>
    <row r="32" spans="1:26" x14ac:dyDescent="0.35">
      <c r="A32" s="7" t="s">
        <v>27</v>
      </c>
      <c r="B32" s="7" t="s">
        <v>44</v>
      </c>
      <c r="C32" s="7" t="s">
        <v>47</v>
      </c>
      <c r="D32" s="7" t="s">
        <v>47</v>
      </c>
      <c r="E32" s="7" t="s">
        <v>43</v>
      </c>
      <c r="F32" s="7" t="s">
        <v>43</v>
      </c>
      <c r="G32" s="7">
        <v>2017</v>
      </c>
      <c r="H32" s="7" t="str">
        <f>CONCATENATE("14270339444")</f>
        <v>14270339444</v>
      </c>
      <c r="I32" s="7" t="s">
        <v>30</v>
      </c>
      <c r="J32" s="7" t="s">
        <v>31</v>
      </c>
      <c r="K32" s="7" t="str">
        <f>CONCATENATE("")</f>
        <v/>
      </c>
      <c r="L32" s="7" t="str">
        <f>CONCATENATE("19 19.2 6b")</f>
        <v>19 19.2 6b</v>
      </c>
      <c r="M32" s="7" t="str">
        <f>CONCATENATE("00286490438")</f>
        <v>00286490438</v>
      </c>
      <c r="N32" s="7" t="s">
        <v>99</v>
      </c>
      <c r="O32" s="7" t="s">
        <v>100</v>
      </c>
      <c r="P32" s="8">
        <v>44537</v>
      </c>
      <c r="Q32" s="7" t="s">
        <v>32</v>
      </c>
      <c r="R32" s="7" t="s">
        <v>46</v>
      </c>
      <c r="S32" s="7" t="s">
        <v>34</v>
      </c>
      <c r="T32" s="7"/>
      <c r="U32" s="7" t="s">
        <v>35</v>
      </c>
      <c r="V32" s="9">
        <v>34117.760000000002</v>
      </c>
      <c r="W32" s="9">
        <v>14711.58</v>
      </c>
      <c r="X32" s="9">
        <v>13585.69</v>
      </c>
      <c r="Y32" s="7">
        <v>0</v>
      </c>
      <c r="Z32" s="9">
        <v>5820.49</v>
      </c>
    </row>
    <row r="33" spans="1:26" x14ac:dyDescent="0.35">
      <c r="A33" s="7" t="s">
        <v>27</v>
      </c>
      <c r="B33" s="7" t="s">
        <v>44</v>
      </c>
      <c r="C33" s="7" t="s">
        <v>47</v>
      </c>
      <c r="D33" s="7" t="s">
        <v>52</v>
      </c>
      <c r="E33" s="7" t="s">
        <v>43</v>
      </c>
      <c r="F33" s="7" t="s">
        <v>43</v>
      </c>
      <c r="G33" s="7">
        <v>2017</v>
      </c>
      <c r="H33" s="7" t="str">
        <f>CONCATENATE("14270339527")</f>
        <v>14270339527</v>
      </c>
      <c r="I33" s="7" t="s">
        <v>30</v>
      </c>
      <c r="J33" s="7" t="s">
        <v>31</v>
      </c>
      <c r="K33" s="7" t="str">
        <f>CONCATENATE("")</f>
        <v/>
      </c>
      <c r="L33" s="7" t="str">
        <f>CONCATENATE("4 4.1 2a")</f>
        <v>4 4.1 2a</v>
      </c>
      <c r="M33" s="7" t="str">
        <f>CONCATENATE("02555110424")</f>
        <v>02555110424</v>
      </c>
      <c r="N33" s="7" t="s">
        <v>101</v>
      </c>
      <c r="O33" s="7" t="s">
        <v>102</v>
      </c>
      <c r="P33" s="8">
        <v>44537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103808.97</v>
      </c>
      <c r="W33" s="9">
        <v>44762.43</v>
      </c>
      <c r="X33" s="9">
        <v>41336.730000000003</v>
      </c>
      <c r="Y33" s="7">
        <v>0</v>
      </c>
      <c r="Z33" s="9">
        <v>17709.810000000001</v>
      </c>
    </row>
    <row r="34" spans="1:26" ht="17.5" x14ac:dyDescent="0.35">
      <c r="A34" s="7" t="s">
        <v>27</v>
      </c>
      <c r="B34" s="7" t="s">
        <v>44</v>
      </c>
      <c r="C34" s="7" t="s">
        <v>47</v>
      </c>
      <c r="D34" s="7" t="s">
        <v>52</v>
      </c>
      <c r="E34" s="7" t="s">
        <v>43</v>
      </c>
      <c r="F34" s="7" t="s">
        <v>43</v>
      </c>
      <c r="G34" s="7">
        <v>2017</v>
      </c>
      <c r="H34" s="7" t="str">
        <f>CONCATENATE("14270339543")</f>
        <v>14270339543</v>
      </c>
      <c r="I34" s="7" t="s">
        <v>30</v>
      </c>
      <c r="J34" s="7" t="s">
        <v>31</v>
      </c>
      <c r="K34" s="7" t="str">
        <f>CONCATENATE("")</f>
        <v/>
      </c>
      <c r="L34" s="7" t="str">
        <f>CONCATENATE("4 4.1 2a")</f>
        <v>4 4.1 2a</v>
      </c>
      <c r="M34" s="7" t="str">
        <f>CONCATENATE("02663240428")</f>
        <v>02663240428</v>
      </c>
      <c r="N34" s="7" t="s">
        <v>103</v>
      </c>
      <c r="O34" s="7" t="s">
        <v>102</v>
      </c>
      <c r="P34" s="8">
        <v>44537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85492.33</v>
      </c>
      <c r="W34" s="9">
        <v>36864.29</v>
      </c>
      <c r="X34" s="9">
        <v>34043.050000000003</v>
      </c>
      <c r="Y34" s="7">
        <v>0</v>
      </c>
      <c r="Z34" s="9">
        <v>14584.99</v>
      </c>
    </row>
    <row r="35" spans="1:26" x14ac:dyDescent="0.35">
      <c r="A35" s="7" t="s">
        <v>27</v>
      </c>
      <c r="B35" s="7" t="s">
        <v>44</v>
      </c>
      <c r="C35" s="7" t="s">
        <v>47</v>
      </c>
      <c r="D35" s="7" t="s">
        <v>76</v>
      </c>
      <c r="E35" s="7" t="s">
        <v>42</v>
      </c>
      <c r="F35" s="7" t="s">
        <v>81</v>
      </c>
      <c r="G35" s="7">
        <v>2017</v>
      </c>
      <c r="H35" s="7" t="str">
        <f>CONCATENATE("14270339519")</f>
        <v>14270339519</v>
      </c>
      <c r="I35" s="7" t="s">
        <v>30</v>
      </c>
      <c r="J35" s="7" t="s">
        <v>31</v>
      </c>
      <c r="K35" s="7" t="str">
        <f>CONCATENATE("")</f>
        <v/>
      </c>
      <c r="L35" s="7" t="str">
        <f>CONCATENATE("4 4.1 2a")</f>
        <v>4 4.1 2a</v>
      </c>
      <c r="M35" s="7" t="str">
        <f>CONCATENATE("VRGGRL44H21F415X")</f>
        <v>VRGGRL44H21F415X</v>
      </c>
      <c r="N35" s="7" t="s">
        <v>104</v>
      </c>
      <c r="O35" s="7" t="s">
        <v>102</v>
      </c>
      <c r="P35" s="8">
        <v>44537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23016.22</v>
      </c>
      <c r="W35" s="9">
        <v>9924.59</v>
      </c>
      <c r="X35" s="9">
        <v>9165.06</v>
      </c>
      <c r="Y35" s="7">
        <v>0</v>
      </c>
      <c r="Z35" s="9">
        <v>3926.57</v>
      </c>
    </row>
    <row r="36" spans="1:26" x14ac:dyDescent="0.35">
      <c r="A36" s="7" t="s">
        <v>27</v>
      </c>
      <c r="B36" s="7" t="s">
        <v>44</v>
      </c>
      <c r="C36" s="7" t="s">
        <v>47</v>
      </c>
      <c r="D36" s="7" t="s">
        <v>76</v>
      </c>
      <c r="E36" s="7" t="s">
        <v>43</v>
      </c>
      <c r="F36" s="7" t="s">
        <v>43</v>
      </c>
      <c r="G36" s="7">
        <v>2017</v>
      </c>
      <c r="H36" s="7" t="str">
        <f>CONCATENATE("14270339535")</f>
        <v>14270339535</v>
      </c>
      <c r="I36" s="7" t="s">
        <v>30</v>
      </c>
      <c r="J36" s="7" t="s">
        <v>31</v>
      </c>
      <c r="K36" s="7" t="str">
        <f>CONCATENATE("")</f>
        <v/>
      </c>
      <c r="L36" s="7" t="str">
        <f>CONCATENATE("4 4.1 2a")</f>
        <v>4 4.1 2a</v>
      </c>
      <c r="M36" s="7" t="str">
        <f>CONCATENATE("02290580444")</f>
        <v>02290580444</v>
      </c>
      <c r="N36" s="7" t="s">
        <v>105</v>
      </c>
      <c r="O36" s="7" t="s">
        <v>102</v>
      </c>
      <c r="P36" s="8">
        <v>44537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91823.84</v>
      </c>
      <c r="W36" s="9">
        <v>39594.44</v>
      </c>
      <c r="X36" s="9">
        <v>36564.25</v>
      </c>
      <c r="Y36" s="7">
        <v>0</v>
      </c>
      <c r="Z36" s="9">
        <v>15665.15</v>
      </c>
    </row>
    <row r="37" spans="1:26" x14ac:dyDescent="0.35">
      <c r="A37" s="7" t="s">
        <v>27</v>
      </c>
      <c r="B37" s="7" t="s">
        <v>44</v>
      </c>
      <c r="C37" s="7" t="s">
        <v>47</v>
      </c>
      <c r="D37" s="7" t="s">
        <v>47</v>
      </c>
      <c r="E37" s="7" t="s">
        <v>36</v>
      </c>
      <c r="F37" s="7" t="s">
        <v>53</v>
      </c>
      <c r="G37" s="7">
        <v>2017</v>
      </c>
      <c r="H37" s="7" t="str">
        <f>CONCATENATE("14270337372")</f>
        <v>14270337372</v>
      </c>
      <c r="I37" s="7" t="s">
        <v>30</v>
      </c>
      <c r="J37" s="7" t="s">
        <v>31</v>
      </c>
      <c r="K37" s="7" t="str">
        <f>CONCATENATE("")</f>
        <v/>
      </c>
      <c r="L37" s="7" t="str">
        <f>CONCATENATE("19 19.2 6b")</f>
        <v>19 19.2 6b</v>
      </c>
      <c r="M37" s="7" t="str">
        <f>CONCATENATE("TBRSDR63L03D451H")</f>
        <v>TBRSDR63L03D451H</v>
      </c>
      <c r="N37" s="7" t="s">
        <v>106</v>
      </c>
      <c r="O37" s="7" t="s">
        <v>107</v>
      </c>
      <c r="P37" s="8">
        <v>44537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35000</v>
      </c>
      <c r="W37" s="9">
        <v>15092</v>
      </c>
      <c r="X37" s="9">
        <v>13937</v>
      </c>
      <c r="Y37" s="7">
        <v>0</v>
      </c>
      <c r="Z37" s="9">
        <v>5971</v>
      </c>
    </row>
    <row r="38" spans="1:26" ht="17.5" x14ac:dyDescent="0.35">
      <c r="A38" s="7" t="s">
        <v>27</v>
      </c>
      <c r="B38" s="7" t="s">
        <v>44</v>
      </c>
      <c r="C38" s="7" t="s">
        <v>47</v>
      </c>
      <c r="D38" s="7" t="s">
        <v>47</v>
      </c>
      <c r="E38" s="7" t="s">
        <v>43</v>
      </c>
      <c r="F38" s="7" t="s">
        <v>43</v>
      </c>
      <c r="G38" s="7">
        <v>2017</v>
      </c>
      <c r="H38" s="7" t="str">
        <f>CONCATENATE("14270337364")</f>
        <v>14270337364</v>
      </c>
      <c r="I38" s="7" t="s">
        <v>30</v>
      </c>
      <c r="J38" s="7" t="s">
        <v>31</v>
      </c>
      <c r="K38" s="7" t="str">
        <f>CONCATENATE("")</f>
        <v/>
      </c>
      <c r="L38" s="7" t="str">
        <f>CONCATENATE("19 19.2 6b")</f>
        <v>19 19.2 6b</v>
      </c>
      <c r="M38" s="7" t="str">
        <f>CONCATENATE("02802230421")</f>
        <v>02802230421</v>
      </c>
      <c r="N38" s="7" t="s">
        <v>108</v>
      </c>
      <c r="O38" s="7" t="s">
        <v>107</v>
      </c>
      <c r="P38" s="8">
        <v>44537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40000</v>
      </c>
      <c r="W38" s="9">
        <v>17248</v>
      </c>
      <c r="X38" s="9">
        <v>15928</v>
      </c>
      <c r="Y38" s="7">
        <v>0</v>
      </c>
      <c r="Z38" s="9">
        <v>6824</v>
      </c>
    </row>
    <row r="39" spans="1:26" x14ac:dyDescent="0.35">
      <c r="A39" s="7" t="s">
        <v>27</v>
      </c>
      <c r="B39" s="7" t="s">
        <v>44</v>
      </c>
      <c r="C39" s="7" t="s">
        <v>47</v>
      </c>
      <c r="D39" s="7" t="s">
        <v>76</v>
      </c>
      <c r="E39" s="7" t="s">
        <v>41</v>
      </c>
      <c r="F39" s="7" t="s">
        <v>109</v>
      </c>
      <c r="G39" s="7">
        <v>2017</v>
      </c>
      <c r="H39" s="7" t="str">
        <f>CONCATENATE("14270336945")</f>
        <v>14270336945</v>
      </c>
      <c r="I39" s="7" t="s">
        <v>40</v>
      </c>
      <c r="J39" s="7" t="s">
        <v>31</v>
      </c>
      <c r="K39" s="7" t="str">
        <f>CONCATENATE("")</f>
        <v/>
      </c>
      <c r="L39" s="7" t="str">
        <f>CONCATENATE("6 6.4 2a")</f>
        <v>6 6.4 2a</v>
      </c>
      <c r="M39" s="7" t="str">
        <f>CONCATENATE("02271970440")</f>
        <v>02271970440</v>
      </c>
      <c r="N39" s="7" t="s">
        <v>110</v>
      </c>
      <c r="O39" s="7" t="s">
        <v>111</v>
      </c>
      <c r="P39" s="8">
        <v>44537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99085.98</v>
      </c>
      <c r="W39" s="9">
        <v>42725.87</v>
      </c>
      <c r="X39" s="9">
        <v>39456.04</v>
      </c>
      <c r="Y39" s="7">
        <v>0</v>
      </c>
      <c r="Z39" s="9">
        <v>16904.07</v>
      </c>
    </row>
    <row r="40" spans="1:26" x14ac:dyDescent="0.35">
      <c r="A40" s="7" t="s">
        <v>27</v>
      </c>
      <c r="B40" s="7" t="s">
        <v>44</v>
      </c>
      <c r="C40" s="7" t="s">
        <v>47</v>
      </c>
      <c r="D40" s="7" t="s">
        <v>76</v>
      </c>
      <c r="E40" s="7" t="s">
        <v>41</v>
      </c>
      <c r="F40" s="7" t="s">
        <v>109</v>
      </c>
      <c r="G40" s="7">
        <v>2017</v>
      </c>
      <c r="H40" s="7" t="str">
        <f>CONCATENATE("14270336960")</f>
        <v>14270336960</v>
      </c>
      <c r="I40" s="7" t="s">
        <v>40</v>
      </c>
      <c r="J40" s="7" t="s">
        <v>31</v>
      </c>
      <c r="K40" s="7" t="str">
        <f>CONCATENATE("")</f>
        <v/>
      </c>
      <c r="L40" s="7" t="str">
        <f>CONCATENATE("4 4.1 2a")</f>
        <v>4 4.1 2a</v>
      </c>
      <c r="M40" s="7" t="str">
        <f>CONCATENATE("02271970440")</f>
        <v>02271970440</v>
      </c>
      <c r="N40" s="7" t="s">
        <v>110</v>
      </c>
      <c r="O40" s="7" t="s">
        <v>112</v>
      </c>
      <c r="P40" s="8">
        <v>44537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32991.14</v>
      </c>
      <c r="W40" s="9">
        <v>14225.78</v>
      </c>
      <c r="X40" s="9">
        <v>13137.07</v>
      </c>
      <c r="Y40" s="7">
        <v>0</v>
      </c>
      <c r="Z40" s="9">
        <v>5628.29</v>
      </c>
    </row>
    <row r="41" spans="1:26" x14ac:dyDescent="0.35">
      <c r="A41" s="7" t="s">
        <v>27</v>
      </c>
      <c r="B41" s="7" t="s">
        <v>28</v>
      </c>
      <c r="C41" s="7" t="s">
        <v>47</v>
      </c>
      <c r="D41" s="7" t="s">
        <v>63</v>
      </c>
      <c r="E41" s="7" t="s">
        <v>37</v>
      </c>
      <c r="F41" s="7" t="s">
        <v>113</v>
      </c>
      <c r="G41" s="7">
        <v>2021</v>
      </c>
      <c r="H41" s="7" t="str">
        <f>CONCATENATE("14211315545")</f>
        <v>14211315545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CONCATENATE("BRSMNN82R51C357J")</f>
        <v>BRSMNN82R51C357J</v>
      </c>
      <c r="N41" s="7" t="s">
        <v>114</v>
      </c>
      <c r="O41" s="7" t="s">
        <v>115</v>
      </c>
      <c r="P41" s="8">
        <v>44536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8910</v>
      </c>
      <c r="W41" s="9">
        <v>3841.99</v>
      </c>
      <c r="X41" s="9">
        <v>3547.96</v>
      </c>
      <c r="Y41" s="7">
        <v>0</v>
      </c>
      <c r="Z41" s="9">
        <v>1520.05</v>
      </c>
    </row>
    <row r="42" spans="1:26" x14ac:dyDescent="0.35">
      <c r="A42" s="7" t="s">
        <v>27</v>
      </c>
      <c r="B42" s="7" t="s">
        <v>28</v>
      </c>
      <c r="C42" s="7" t="s">
        <v>47</v>
      </c>
      <c r="D42" s="7" t="s">
        <v>63</v>
      </c>
      <c r="E42" s="7" t="s">
        <v>36</v>
      </c>
      <c r="F42" s="7" t="s">
        <v>116</v>
      </c>
      <c r="G42" s="7">
        <v>2021</v>
      </c>
      <c r="H42" s="7" t="str">
        <f>CONCATENATE("14210385341")</f>
        <v>14210385341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CONCATENATE("CSVMRA66C08B352M")</f>
        <v>CSVMRA66C08B352M</v>
      </c>
      <c r="N42" s="7" t="s">
        <v>117</v>
      </c>
      <c r="O42" s="7" t="s">
        <v>115</v>
      </c>
      <c r="P42" s="8">
        <v>44536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3452.82</v>
      </c>
      <c r="W42" s="9">
        <v>1488.86</v>
      </c>
      <c r="X42" s="9">
        <v>1374.91</v>
      </c>
      <c r="Y42" s="7">
        <v>0</v>
      </c>
      <c r="Z42" s="7">
        <v>589.04999999999995</v>
      </c>
    </row>
    <row r="43" spans="1:26" x14ac:dyDescent="0.35">
      <c r="A43" s="7" t="s">
        <v>27</v>
      </c>
      <c r="B43" s="7" t="s">
        <v>28</v>
      </c>
      <c r="C43" s="7" t="s">
        <v>47</v>
      </c>
      <c r="D43" s="7" t="s">
        <v>63</v>
      </c>
      <c r="E43" s="7" t="s">
        <v>29</v>
      </c>
      <c r="F43" s="7" t="s">
        <v>118</v>
      </c>
      <c r="G43" s="7">
        <v>2021</v>
      </c>
      <c r="H43" s="7" t="str">
        <f>CONCATENATE("14210035714")</f>
        <v>14210035714</v>
      </c>
      <c r="I43" s="7" t="s">
        <v>30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CONCATENATE("LSSPLA59A45D749I")</f>
        <v>LSSPLA59A45D749I</v>
      </c>
      <c r="N43" s="7" t="s">
        <v>119</v>
      </c>
      <c r="O43" s="7" t="s">
        <v>115</v>
      </c>
      <c r="P43" s="8">
        <v>44536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2566.7399999999998</v>
      </c>
      <c r="W43" s="9">
        <v>1106.78</v>
      </c>
      <c r="X43" s="9">
        <v>1022.08</v>
      </c>
      <c r="Y43" s="7">
        <v>0</v>
      </c>
      <c r="Z43" s="7">
        <v>437.88</v>
      </c>
    </row>
    <row r="44" spans="1:26" ht="17.5" x14ac:dyDescent="0.35">
      <c r="A44" s="7" t="s">
        <v>27</v>
      </c>
      <c r="B44" s="7" t="s">
        <v>28</v>
      </c>
      <c r="C44" s="7" t="s">
        <v>47</v>
      </c>
      <c r="D44" s="7" t="s">
        <v>63</v>
      </c>
      <c r="E44" s="7" t="s">
        <v>29</v>
      </c>
      <c r="F44" s="7" t="s">
        <v>120</v>
      </c>
      <c r="G44" s="7">
        <v>2021</v>
      </c>
      <c r="H44" s="7" t="str">
        <f>CONCATENATE("14211178893")</f>
        <v>14211178893</v>
      </c>
      <c r="I44" s="7" t="s">
        <v>30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CONCATENATE("02737800413")</f>
        <v>02737800413</v>
      </c>
      <c r="N44" s="7" t="s">
        <v>121</v>
      </c>
      <c r="O44" s="7" t="s">
        <v>115</v>
      </c>
      <c r="P44" s="8">
        <v>44536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5723.47</v>
      </c>
      <c r="W44" s="9">
        <v>2467.96</v>
      </c>
      <c r="X44" s="9">
        <v>2279.09</v>
      </c>
      <c r="Y44" s="7">
        <v>0</v>
      </c>
      <c r="Z44" s="7">
        <v>976.42</v>
      </c>
    </row>
    <row r="45" spans="1:26" x14ac:dyDescent="0.35">
      <c r="A45" s="7" t="s">
        <v>27</v>
      </c>
      <c r="B45" s="7" t="s">
        <v>28</v>
      </c>
      <c r="C45" s="7" t="s">
        <v>47</v>
      </c>
      <c r="D45" s="7" t="s">
        <v>63</v>
      </c>
      <c r="E45" s="7" t="s">
        <v>29</v>
      </c>
      <c r="F45" s="7" t="s">
        <v>122</v>
      </c>
      <c r="G45" s="7">
        <v>2021</v>
      </c>
      <c r="H45" s="7" t="str">
        <f>CONCATENATE("14210163292")</f>
        <v>14210163292</v>
      </c>
      <c r="I45" s="7" t="s">
        <v>30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CONCATENATE("MTANTN58C14E785A")</f>
        <v>MTANTN58C14E785A</v>
      </c>
      <c r="N45" s="7" t="s">
        <v>123</v>
      </c>
      <c r="O45" s="7" t="s">
        <v>115</v>
      </c>
      <c r="P45" s="8">
        <v>44536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3833.48</v>
      </c>
      <c r="W45" s="9">
        <v>1653</v>
      </c>
      <c r="X45" s="9">
        <v>1526.49</v>
      </c>
      <c r="Y45" s="7">
        <v>0</v>
      </c>
      <c r="Z45" s="7">
        <v>653.99</v>
      </c>
    </row>
    <row r="46" spans="1:26" x14ac:dyDescent="0.35">
      <c r="A46" s="7" t="s">
        <v>27</v>
      </c>
      <c r="B46" s="7" t="s">
        <v>28</v>
      </c>
      <c r="C46" s="7" t="s">
        <v>47</v>
      </c>
      <c r="D46" s="7" t="s">
        <v>63</v>
      </c>
      <c r="E46" s="7" t="s">
        <v>29</v>
      </c>
      <c r="F46" s="7" t="s">
        <v>124</v>
      </c>
      <c r="G46" s="7">
        <v>2021</v>
      </c>
      <c r="H46" s="7" t="str">
        <f>CONCATENATE("14210020708")</f>
        <v>14210020708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CONCATENATE("NTNVTR36M04F135Q")</f>
        <v>NTNVTR36M04F135Q</v>
      </c>
      <c r="N46" s="7" t="s">
        <v>125</v>
      </c>
      <c r="O46" s="7" t="s">
        <v>115</v>
      </c>
      <c r="P46" s="8">
        <v>44536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3508.96</v>
      </c>
      <c r="W46" s="9">
        <v>1513.06</v>
      </c>
      <c r="X46" s="9">
        <v>1397.27</v>
      </c>
      <c r="Y46" s="7">
        <v>0</v>
      </c>
      <c r="Z46" s="7">
        <v>598.63</v>
      </c>
    </row>
    <row r="47" spans="1:26" x14ac:dyDescent="0.35">
      <c r="A47" s="7" t="s">
        <v>27</v>
      </c>
      <c r="B47" s="7" t="s">
        <v>28</v>
      </c>
      <c r="C47" s="7" t="s">
        <v>47</v>
      </c>
      <c r="D47" s="7" t="s">
        <v>63</v>
      </c>
      <c r="E47" s="7" t="s">
        <v>36</v>
      </c>
      <c r="F47" s="7" t="s">
        <v>126</v>
      </c>
      <c r="G47" s="7">
        <v>2021</v>
      </c>
      <c r="H47" s="7" t="str">
        <f>CONCATENATE("14210747706")</f>
        <v>14210747706</v>
      </c>
      <c r="I47" s="7" t="s">
        <v>30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CONCATENATE("02651380418")</f>
        <v>02651380418</v>
      </c>
      <c r="N47" s="7" t="s">
        <v>127</v>
      </c>
      <c r="O47" s="7" t="s">
        <v>115</v>
      </c>
      <c r="P47" s="8">
        <v>44536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1749.96</v>
      </c>
      <c r="W47" s="7">
        <v>754.58</v>
      </c>
      <c r="X47" s="7">
        <v>696.83</v>
      </c>
      <c r="Y47" s="7">
        <v>0</v>
      </c>
      <c r="Z47" s="7">
        <v>298.55</v>
      </c>
    </row>
    <row r="48" spans="1:26" x14ac:dyDescent="0.35">
      <c r="A48" s="7" t="s">
        <v>27</v>
      </c>
      <c r="B48" s="7" t="s">
        <v>28</v>
      </c>
      <c r="C48" s="7" t="s">
        <v>47</v>
      </c>
      <c r="D48" s="7" t="s">
        <v>63</v>
      </c>
      <c r="E48" s="7" t="s">
        <v>37</v>
      </c>
      <c r="F48" s="7" t="s">
        <v>113</v>
      </c>
      <c r="G48" s="7">
        <v>2021</v>
      </c>
      <c r="H48" s="7" t="str">
        <f>CONCATENATE("14211327110")</f>
        <v>14211327110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CONCATENATE("BLDNDR80S18I287O")</f>
        <v>BLDNDR80S18I287O</v>
      </c>
      <c r="N48" s="7" t="s">
        <v>128</v>
      </c>
      <c r="O48" s="7" t="s">
        <v>115</v>
      </c>
      <c r="P48" s="8">
        <v>44536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665.88</v>
      </c>
      <c r="W48" s="7">
        <v>287.13</v>
      </c>
      <c r="X48" s="7">
        <v>265.14999999999998</v>
      </c>
      <c r="Y48" s="7">
        <v>0</v>
      </c>
      <c r="Z48" s="7">
        <v>113.6</v>
      </c>
    </row>
    <row r="49" spans="1:26" x14ac:dyDescent="0.35">
      <c r="A49" s="7" t="s">
        <v>27</v>
      </c>
      <c r="B49" s="7" t="s">
        <v>28</v>
      </c>
      <c r="C49" s="7" t="s">
        <v>47</v>
      </c>
      <c r="D49" s="7" t="s">
        <v>63</v>
      </c>
      <c r="E49" s="7" t="s">
        <v>29</v>
      </c>
      <c r="F49" s="7" t="s">
        <v>122</v>
      </c>
      <c r="G49" s="7">
        <v>2021</v>
      </c>
      <c r="H49" s="7" t="str">
        <f>CONCATENATE("14210017456")</f>
        <v>14210017456</v>
      </c>
      <c r="I49" s="7" t="s">
        <v>30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CONCATENATE("PRLLNZ44M20F478Y")</f>
        <v>PRLLNZ44M20F478Y</v>
      </c>
      <c r="N49" s="7" t="s">
        <v>129</v>
      </c>
      <c r="O49" s="7" t="s">
        <v>115</v>
      </c>
      <c r="P49" s="8">
        <v>44536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829.42</v>
      </c>
      <c r="W49" s="7">
        <v>357.65</v>
      </c>
      <c r="X49" s="7">
        <v>330.28</v>
      </c>
      <c r="Y49" s="7">
        <v>0</v>
      </c>
      <c r="Z49" s="7">
        <v>141.49</v>
      </c>
    </row>
    <row r="50" spans="1:26" x14ac:dyDescent="0.35">
      <c r="A50" s="7" t="s">
        <v>27</v>
      </c>
      <c r="B50" s="7" t="s">
        <v>28</v>
      </c>
      <c r="C50" s="7" t="s">
        <v>47</v>
      </c>
      <c r="D50" s="7" t="s">
        <v>63</v>
      </c>
      <c r="E50" s="7" t="s">
        <v>36</v>
      </c>
      <c r="F50" s="7" t="s">
        <v>130</v>
      </c>
      <c r="G50" s="7">
        <v>2021</v>
      </c>
      <c r="H50" s="7" t="str">
        <f>CONCATENATE("14210342870")</f>
        <v>14210342870</v>
      </c>
      <c r="I50" s="7" t="s">
        <v>30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CONCATENATE("00829720416")</f>
        <v>00829720416</v>
      </c>
      <c r="N50" s="7" t="s">
        <v>131</v>
      </c>
      <c r="O50" s="7" t="s">
        <v>115</v>
      </c>
      <c r="P50" s="8">
        <v>44536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2727.14</v>
      </c>
      <c r="W50" s="9">
        <v>1175.94</v>
      </c>
      <c r="X50" s="9">
        <v>1085.95</v>
      </c>
      <c r="Y50" s="7">
        <v>0</v>
      </c>
      <c r="Z50" s="7">
        <v>465.25</v>
      </c>
    </row>
    <row r="51" spans="1:26" x14ac:dyDescent="0.35">
      <c r="A51" s="7" t="s">
        <v>27</v>
      </c>
      <c r="B51" s="7" t="s">
        <v>28</v>
      </c>
      <c r="C51" s="7" t="s">
        <v>47</v>
      </c>
      <c r="D51" s="7" t="s">
        <v>63</v>
      </c>
      <c r="E51" s="7" t="s">
        <v>29</v>
      </c>
      <c r="F51" s="7" t="s">
        <v>122</v>
      </c>
      <c r="G51" s="7">
        <v>2021</v>
      </c>
      <c r="H51" s="7" t="str">
        <f>CONCATENATE("14210164373")</f>
        <v>14210164373</v>
      </c>
      <c r="I51" s="7" t="s">
        <v>30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CONCATENATE("CMPLGU59A04F478I")</f>
        <v>CMPLGU59A04F478I</v>
      </c>
      <c r="N51" s="7" t="s">
        <v>132</v>
      </c>
      <c r="O51" s="7" t="s">
        <v>115</v>
      </c>
      <c r="P51" s="8">
        <v>44536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2990.9</v>
      </c>
      <c r="W51" s="9">
        <v>1289.68</v>
      </c>
      <c r="X51" s="9">
        <v>1190.98</v>
      </c>
      <c r="Y51" s="7">
        <v>0</v>
      </c>
      <c r="Z51" s="7">
        <v>510.24</v>
      </c>
    </row>
    <row r="52" spans="1:26" x14ac:dyDescent="0.35">
      <c r="A52" s="7" t="s">
        <v>27</v>
      </c>
      <c r="B52" s="7" t="s">
        <v>28</v>
      </c>
      <c r="C52" s="7" t="s">
        <v>47</v>
      </c>
      <c r="D52" s="7" t="s">
        <v>63</v>
      </c>
      <c r="E52" s="7" t="s">
        <v>29</v>
      </c>
      <c r="F52" s="7" t="s">
        <v>133</v>
      </c>
      <c r="G52" s="7">
        <v>2021</v>
      </c>
      <c r="H52" s="7" t="str">
        <f>CONCATENATE("14211114062")</f>
        <v>14211114062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CONCATENATE("CSRDBR38R03D749W")</f>
        <v>CSRDBR38R03D749W</v>
      </c>
      <c r="N52" s="7" t="s">
        <v>134</v>
      </c>
      <c r="O52" s="7" t="s">
        <v>115</v>
      </c>
      <c r="P52" s="8">
        <v>44536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713.8</v>
      </c>
      <c r="W52" s="7">
        <v>307.79000000000002</v>
      </c>
      <c r="X52" s="7">
        <v>284.24</v>
      </c>
      <c r="Y52" s="7">
        <v>0</v>
      </c>
      <c r="Z52" s="7">
        <v>121.77</v>
      </c>
    </row>
    <row r="53" spans="1:26" x14ac:dyDescent="0.35">
      <c r="A53" s="7" t="s">
        <v>27</v>
      </c>
      <c r="B53" s="7" t="s">
        <v>28</v>
      </c>
      <c r="C53" s="7" t="s">
        <v>47</v>
      </c>
      <c r="D53" s="7" t="s">
        <v>63</v>
      </c>
      <c r="E53" s="7" t="s">
        <v>29</v>
      </c>
      <c r="F53" s="7" t="s">
        <v>122</v>
      </c>
      <c r="G53" s="7">
        <v>2021</v>
      </c>
      <c r="H53" s="7" t="str">
        <f>CONCATENATE("14210333572")</f>
        <v>14210333572</v>
      </c>
      <c r="I53" s="7" t="s">
        <v>30</v>
      </c>
      <c r="J53" s="7" t="s">
        <v>31</v>
      </c>
      <c r="K53" s="7" t="str">
        <f>CONCATENATE("")</f>
        <v/>
      </c>
      <c r="L53" s="7" t="str">
        <f>CONCATENATE("13 13.1 4a")</f>
        <v>13 13.1 4a</v>
      </c>
      <c r="M53" s="7" t="str">
        <f>CONCATENATE("CCCLSN77R24I459E")</f>
        <v>CCCLSN77R24I459E</v>
      </c>
      <c r="N53" s="7" t="s">
        <v>135</v>
      </c>
      <c r="O53" s="7" t="s">
        <v>115</v>
      </c>
      <c r="P53" s="8">
        <v>44536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6368.51</v>
      </c>
      <c r="W53" s="9">
        <v>2746.1</v>
      </c>
      <c r="X53" s="9">
        <v>2535.94</v>
      </c>
      <c r="Y53" s="7">
        <v>0</v>
      </c>
      <c r="Z53" s="9">
        <v>1086.47</v>
      </c>
    </row>
    <row r="54" spans="1:26" x14ac:dyDescent="0.35">
      <c r="A54" s="7" t="s">
        <v>27</v>
      </c>
      <c r="B54" s="7" t="s">
        <v>28</v>
      </c>
      <c r="C54" s="7" t="s">
        <v>47</v>
      </c>
      <c r="D54" s="7" t="s">
        <v>63</v>
      </c>
      <c r="E54" s="7" t="s">
        <v>37</v>
      </c>
      <c r="F54" s="7" t="s">
        <v>136</v>
      </c>
      <c r="G54" s="7">
        <v>2021</v>
      </c>
      <c r="H54" s="7" t="str">
        <f>CONCATENATE("14210331212")</f>
        <v>14210331212</v>
      </c>
      <c r="I54" s="7" t="s">
        <v>30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CONCATENATE("02601820414")</f>
        <v>02601820414</v>
      </c>
      <c r="N54" s="7" t="s">
        <v>137</v>
      </c>
      <c r="O54" s="7" t="s">
        <v>115</v>
      </c>
      <c r="P54" s="8">
        <v>44536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9000</v>
      </c>
      <c r="W54" s="9">
        <v>3880.8</v>
      </c>
      <c r="X54" s="9">
        <v>3583.8</v>
      </c>
      <c r="Y54" s="7">
        <v>0</v>
      </c>
      <c r="Z54" s="9">
        <v>1535.4</v>
      </c>
    </row>
    <row r="55" spans="1:26" x14ac:dyDescent="0.35">
      <c r="A55" s="7" t="s">
        <v>27</v>
      </c>
      <c r="B55" s="7" t="s">
        <v>28</v>
      </c>
      <c r="C55" s="7" t="s">
        <v>47</v>
      </c>
      <c r="D55" s="7" t="s">
        <v>63</v>
      </c>
      <c r="E55" s="7" t="s">
        <v>29</v>
      </c>
      <c r="F55" s="7" t="s">
        <v>124</v>
      </c>
      <c r="G55" s="7">
        <v>2021</v>
      </c>
      <c r="H55" s="7" t="str">
        <f>CONCATENATE("14210020864")</f>
        <v>14210020864</v>
      </c>
      <c r="I55" s="7" t="s">
        <v>30</v>
      </c>
      <c r="J55" s="7" t="s">
        <v>31</v>
      </c>
      <c r="K55" s="7" t="str">
        <f>CONCATENATE("")</f>
        <v/>
      </c>
      <c r="L55" s="7" t="str">
        <f>CONCATENATE("13 13.1 4a")</f>
        <v>13 13.1 4a</v>
      </c>
      <c r="M55" s="7" t="str">
        <f>CONCATENATE("CRDGRG59A01F135P")</f>
        <v>CRDGRG59A01F135P</v>
      </c>
      <c r="N55" s="7" t="s">
        <v>138</v>
      </c>
      <c r="O55" s="7" t="s">
        <v>115</v>
      </c>
      <c r="P55" s="8">
        <v>44536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9000</v>
      </c>
      <c r="W55" s="9">
        <v>3880.8</v>
      </c>
      <c r="X55" s="9">
        <v>3583.8</v>
      </c>
      <c r="Y55" s="7">
        <v>0</v>
      </c>
      <c r="Z55" s="9">
        <v>1535.4</v>
      </c>
    </row>
    <row r="56" spans="1:26" x14ac:dyDescent="0.35">
      <c r="A56" s="7" t="s">
        <v>27</v>
      </c>
      <c r="B56" s="7" t="s">
        <v>28</v>
      </c>
      <c r="C56" s="7" t="s">
        <v>47</v>
      </c>
      <c r="D56" s="7" t="s">
        <v>63</v>
      </c>
      <c r="E56" s="7" t="s">
        <v>29</v>
      </c>
      <c r="F56" s="7" t="s">
        <v>122</v>
      </c>
      <c r="G56" s="7">
        <v>2021</v>
      </c>
      <c r="H56" s="7" t="str">
        <f>CONCATENATE("14210016920")</f>
        <v>14210016920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CONCATENATE("MZZDNL68M27I459V")</f>
        <v>MZZDNL68M27I459V</v>
      </c>
      <c r="N56" s="7" t="s">
        <v>139</v>
      </c>
      <c r="O56" s="7" t="s">
        <v>115</v>
      </c>
      <c r="P56" s="8">
        <v>44536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5480.31</v>
      </c>
      <c r="W56" s="9">
        <v>2363.11</v>
      </c>
      <c r="X56" s="9">
        <v>2182.2600000000002</v>
      </c>
      <c r="Y56" s="7">
        <v>0</v>
      </c>
      <c r="Z56" s="7">
        <v>934.94</v>
      </c>
    </row>
    <row r="57" spans="1:26" x14ac:dyDescent="0.35">
      <c r="A57" s="7" t="s">
        <v>27</v>
      </c>
      <c r="B57" s="7" t="s">
        <v>44</v>
      </c>
      <c r="C57" s="7" t="s">
        <v>47</v>
      </c>
      <c r="D57" s="7" t="s">
        <v>47</v>
      </c>
      <c r="E57" s="7" t="s">
        <v>43</v>
      </c>
      <c r="F57" s="7" t="s">
        <v>43</v>
      </c>
      <c r="G57" s="7">
        <v>2017</v>
      </c>
      <c r="H57" s="7" t="str">
        <f>CONCATENATE("14270334015")</f>
        <v>14270334015</v>
      </c>
      <c r="I57" s="7" t="s">
        <v>30</v>
      </c>
      <c r="J57" s="7" t="s">
        <v>31</v>
      </c>
      <c r="K57" s="7" t="str">
        <f>CONCATENATE("")</f>
        <v/>
      </c>
      <c r="L57" s="7" t="str">
        <f>CONCATENATE("19 19.2 6b")</f>
        <v>19 19.2 6b</v>
      </c>
      <c r="M57" s="7" t="str">
        <f>CONCATENATE("81001050442")</f>
        <v>81001050442</v>
      </c>
      <c r="N57" s="7" t="s">
        <v>140</v>
      </c>
      <c r="O57" s="7" t="s">
        <v>141</v>
      </c>
      <c r="P57" s="8">
        <v>44537</v>
      </c>
      <c r="Q57" s="7" t="s">
        <v>32</v>
      </c>
      <c r="R57" s="7" t="s">
        <v>46</v>
      </c>
      <c r="S57" s="7" t="s">
        <v>34</v>
      </c>
      <c r="T57" s="7"/>
      <c r="U57" s="7" t="s">
        <v>35</v>
      </c>
      <c r="V57" s="9">
        <v>17460.72</v>
      </c>
      <c r="W57" s="9">
        <v>7529.06</v>
      </c>
      <c r="X57" s="9">
        <v>6952.86</v>
      </c>
      <c r="Y57" s="7">
        <v>0</v>
      </c>
      <c r="Z57" s="9">
        <v>2978.8</v>
      </c>
    </row>
    <row r="58" spans="1:26" x14ac:dyDescent="0.35">
      <c r="A58" s="7" t="s">
        <v>27</v>
      </c>
      <c r="B58" s="7" t="s">
        <v>44</v>
      </c>
      <c r="C58" s="7" t="s">
        <v>47</v>
      </c>
      <c r="D58" s="7" t="s">
        <v>47</v>
      </c>
      <c r="E58" s="7" t="s">
        <v>43</v>
      </c>
      <c r="F58" s="7" t="s">
        <v>43</v>
      </c>
      <c r="G58" s="7">
        <v>2017</v>
      </c>
      <c r="H58" s="7" t="str">
        <f>CONCATENATE("14270333512")</f>
        <v>14270333512</v>
      </c>
      <c r="I58" s="7" t="s">
        <v>30</v>
      </c>
      <c r="J58" s="7" t="s">
        <v>31</v>
      </c>
      <c r="K58" s="7" t="str">
        <f>CONCATENATE("")</f>
        <v/>
      </c>
      <c r="L58" s="7" t="str">
        <f>CONCATENATE("19 19.2 6b")</f>
        <v>19 19.2 6b</v>
      </c>
      <c r="M58" s="7" t="str">
        <f>CONCATENATE("00184460426")</f>
        <v>00184460426</v>
      </c>
      <c r="N58" s="7" t="s">
        <v>142</v>
      </c>
      <c r="O58" s="7" t="s">
        <v>143</v>
      </c>
      <c r="P58" s="8">
        <v>44532</v>
      </c>
      <c r="Q58" s="7" t="s">
        <v>32</v>
      </c>
      <c r="R58" s="7" t="s">
        <v>46</v>
      </c>
      <c r="S58" s="7" t="s">
        <v>34</v>
      </c>
      <c r="T58" s="7"/>
      <c r="U58" s="7" t="s">
        <v>35</v>
      </c>
      <c r="V58" s="9">
        <v>57962.36</v>
      </c>
      <c r="W58" s="9">
        <v>24993.37</v>
      </c>
      <c r="X58" s="9">
        <v>23080.61</v>
      </c>
      <c r="Y58" s="7">
        <v>0</v>
      </c>
      <c r="Z58" s="9">
        <v>9888.3799999999992</v>
      </c>
    </row>
    <row r="59" spans="1:26" x14ac:dyDescent="0.35">
      <c r="A59" s="7" t="s">
        <v>27</v>
      </c>
      <c r="B59" s="7" t="s">
        <v>44</v>
      </c>
      <c r="C59" s="7" t="s">
        <v>47</v>
      </c>
      <c r="D59" s="7" t="s">
        <v>63</v>
      </c>
      <c r="E59" s="7" t="s">
        <v>36</v>
      </c>
      <c r="F59" s="7" t="s">
        <v>116</v>
      </c>
      <c r="G59" s="7">
        <v>2017</v>
      </c>
      <c r="H59" s="7" t="str">
        <f>CONCATENATE("14270333884")</f>
        <v>14270333884</v>
      </c>
      <c r="I59" s="7" t="s">
        <v>30</v>
      </c>
      <c r="J59" s="7" t="s">
        <v>31</v>
      </c>
      <c r="K59" s="7" t="str">
        <f>CONCATENATE("")</f>
        <v/>
      </c>
      <c r="L59" s="7" t="str">
        <f>CONCATENATE("8 8.1 5e")</f>
        <v>8 8.1 5e</v>
      </c>
      <c r="M59" s="7" t="str">
        <f>CONCATENATE("FRMDVD83A22L500P")</f>
        <v>FRMDVD83A22L500P</v>
      </c>
      <c r="N59" s="7" t="s">
        <v>144</v>
      </c>
      <c r="O59" s="7" t="s">
        <v>145</v>
      </c>
      <c r="P59" s="8">
        <v>44532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6661.78</v>
      </c>
      <c r="W59" s="9">
        <v>2872.56</v>
      </c>
      <c r="X59" s="9">
        <v>2652.72</v>
      </c>
      <c r="Y59" s="7">
        <v>0</v>
      </c>
      <c r="Z59" s="9">
        <v>1136.5</v>
      </c>
    </row>
    <row r="60" spans="1:26" x14ac:dyDescent="0.35">
      <c r="A60" s="7" t="s">
        <v>27</v>
      </c>
      <c r="B60" s="7" t="s">
        <v>44</v>
      </c>
      <c r="C60" s="7" t="s">
        <v>47</v>
      </c>
      <c r="D60" s="7" t="s">
        <v>63</v>
      </c>
      <c r="E60" s="7" t="s">
        <v>36</v>
      </c>
      <c r="F60" s="7" t="s">
        <v>116</v>
      </c>
      <c r="G60" s="7">
        <v>2017</v>
      </c>
      <c r="H60" s="7" t="str">
        <f>CONCATENATE("14270333777")</f>
        <v>14270333777</v>
      </c>
      <c r="I60" s="7" t="s">
        <v>30</v>
      </c>
      <c r="J60" s="7" t="s">
        <v>31</v>
      </c>
      <c r="K60" s="7" t="str">
        <f>CONCATENATE("")</f>
        <v/>
      </c>
      <c r="L60" s="7" t="str">
        <f>CONCATENATE("8 8.1 5e")</f>
        <v>8 8.1 5e</v>
      </c>
      <c r="M60" s="7" t="str">
        <f>CONCATENATE("PLNMLE44M20B352C")</f>
        <v>PLNMLE44M20B352C</v>
      </c>
      <c r="N60" s="7" t="s">
        <v>146</v>
      </c>
      <c r="O60" s="7" t="s">
        <v>145</v>
      </c>
      <c r="P60" s="8">
        <v>44532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4597.8900000000003</v>
      </c>
      <c r="W60" s="9">
        <v>1982.61</v>
      </c>
      <c r="X60" s="9">
        <v>1830.88</v>
      </c>
      <c r="Y60" s="7">
        <v>0</v>
      </c>
      <c r="Z60" s="7">
        <v>784.4</v>
      </c>
    </row>
    <row r="61" spans="1:26" x14ac:dyDescent="0.35">
      <c r="A61" s="7" t="s">
        <v>27</v>
      </c>
      <c r="B61" s="7" t="s">
        <v>44</v>
      </c>
      <c r="C61" s="7" t="s">
        <v>47</v>
      </c>
      <c r="D61" s="7" t="s">
        <v>63</v>
      </c>
      <c r="E61" s="7" t="s">
        <v>36</v>
      </c>
      <c r="F61" s="7" t="s">
        <v>116</v>
      </c>
      <c r="G61" s="7">
        <v>2017</v>
      </c>
      <c r="H61" s="7" t="str">
        <f>CONCATENATE("14270333876")</f>
        <v>14270333876</v>
      </c>
      <c r="I61" s="7" t="s">
        <v>30</v>
      </c>
      <c r="J61" s="7" t="s">
        <v>31</v>
      </c>
      <c r="K61" s="7" t="str">
        <f>CONCATENATE("")</f>
        <v/>
      </c>
      <c r="L61" s="7" t="str">
        <f>CONCATENATE("8 8.1 5e")</f>
        <v>8 8.1 5e</v>
      </c>
      <c r="M61" s="7" t="str">
        <f>CONCATENATE("PGLRSO56M58C352G")</f>
        <v>PGLRSO56M58C352G</v>
      </c>
      <c r="N61" s="7" t="s">
        <v>147</v>
      </c>
      <c r="O61" s="7" t="s">
        <v>145</v>
      </c>
      <c r="P61" s="8">
        <v>44532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16877.89</v>
      </c>
      <c r="W61" s="9">
        <v>7277.75</v>
      </c>
      <c r="X61" s="9">
        <v>6720.78</v>
      </c>
      <c r="Y61" s="7">
        <v>0</v>
      </c>
      <c r="Z61" s="9">
        <v>2879.36</v>
      </c>
    </row>
    <row r="62" spans="1:26" x14ac:dyDescent="0.35">
      <c r="A62" s="7" t="s">
        <v>27</v>
      </c>
      <c r="B62" s="7" t="s">
        <v>44</v>
      </c>
      <c r="C62" s="7" t="s">
        <v>47</v>
      </c>
      <c r="D62" s="7" t="s">
        <v>63</v>
      </c>
      <c r="E62" s="7" t="s">
        <v>36</v>
      </c>
      <c r="F62" s="7" t="s">
        <v>116</v>
      </c>
      <c r="G62" s="7">
        <v>2017</v>
      </c>
      <c r="H62" s="7" t="str">
        <f>CONCATENATE("14270333769")</f>
        <v>14270333769</v>
      </c>
      <c r="I62" s="7" t="s">
        <v>30</v>
      </c>
      <c r="J62" s="7" t="s">
        <v>31</v>
      </c>
      <c r="K62" s="7" t="str">
        <f>CONCATENATE("")</f>
        <v/>
      </c>
      <c r="L62" s="7" t="str">
        <f>CONCATENATE("8 8.1 5e")</f>
        <v>8 8.1 5e</v>
      </c>
      <c r="M62" s="7" t="str">
        <f>CONCATENATE("SRNMRA52H16B636V")</f>
        <v>SRNMRA52H16B636V</v>
      </c>
      <c r="N62" s="7" t="s">
        <v>148</v>
      </c>
      <c r="O62" s="7" t="s">
        <v>145</v>
      </c>
      <c r="P62" s="8">
        <v>44532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2446.39</v>
      </c>
      <c r="W62" s="9">
        <v>1054.8800000000001</v>
      </c>
      <c r="X62" s="7">
        <v>974.15</v>
      </c>
      <c r="Y62" s="7">
        <v>0</v>
      </c>
      <c r="Z62" s="7">
        <v>417.36</v>
      </c>
    </row>
    <row r="63" spans="1:26" x14ac:dyDescent="0.35">
      <c r="A63" s="7" t="s">
        <v>27</v>
      </c>
      <c r="B63" s="7" t="s">
        <v>44</v>
      </c>
      <c r="C63" s="7" t="s">
        <v>47</v>
      </c>
      <c r="D63" s="7" t="s">
        <v>52</v>
      </c>
      <c r="E63" s="7" t="s">
        <v>29</v>
      </c>
      <c r="F63" s="7" t="s">
        <v>149</v>
      </c>
      <c r="G63" s="7">
        <v>2017</v>
      </c>
      <c r="H63" s="7" t="str">
        <f>CONCATENATE("14270338016")</f>
        <v>14270338016</v>
      </c>
      <c r="I63" s="7" t="s">
        <v>30</v>
      </c>
      <c r="J63" s="7" t="s">
        <v>31</v>
      </c>
      <c r="K63" s="7" t="str">
        <f>CONCATENATE("")</f>
        <v/>
      </c>
      <c r="L63" s="7" t="str">
        <f>CONCATENATE("4 4.4 4c")</f>
        <v>4 4.4 4c</v>
      </c>
      <c r="M63" s="7" t="str">
        <f>CONCATENATE("BCCMRA88E66D451X")</f>
        <v>BCCMRA88E66D451X</v>
      </c>
      <c r="N63" s="7" t="s">
        <v>150</v>
      </c>
      <c r="O63" s="7" t="s">
        <v>98</v>
      </c>
      <c r="P63" s="8">
        <v>44537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2454</v>
      </c>
      <c r="W63" s="9">
        <v>1058.1600000000001</v>
      </c>
      <c r="X63" s="7">
        <v>977.18</v>
      </c>
      <c r="Y63" s="7">
        <v>0</v>
      </c>
      <c r="Z63" s="7">
        <v>418.66</v>
      </c>
    </row>
    <row r="64" spans="1:26" x14ac:dyDescent="0.35">
      <c r="A64" s="7" t="s">
        <v>27</v>
      </c>
      <c r="B64" s="7" t="s">
        <v>44</v>
      </c>
      <c r="C64" s="7" t="s">
        <v>47</v>
      </c>
      <c r="D64" s="7" t="s">
        <v>76</v>
      </c>
      <c r="E64" s="7" t="s">
        <v>29</v>
      </c>
      <c r="F64" s="7" t="s">
        <v>96</v>
      </c>
      <c r="G64" s="7">
        <v>2017</v>
      </c>
      <c r="H64" s="7" t="str">
        <f>CONCATENATE("14270338032")</f>
        <v>14270338032</v>
      </c>
      <c r="I64" s="7" t="s">
        <v>30</v>
      </c>
      <c r="J64" s="7" t="s">
        <v>31</v>
      </c>
      <c r="K64" s="7" t="str">
        <f>CONCATENATE("")</f>
        <v/>
      </c>
      <c r="L64" s="7" t="str">
        <f>CONCATENATE("4 4.4 4c")</f>
        <v>4 4.4 4c</v>
      </c>
      <c r="M64" s="7" t="str">
        <f>CONCATENATE("DCLNNZ83C05H501B")</f>
        <v>DCLNNZ83C05H501B</v>
      </c>
      <c r="N64" s="7" t="s">
        <v>151</v>
      </c>
      <c r="O64" s="7" t="s">
        <v>98</v>
      </c>
      <c r="P64" s="8">
        <v>44537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4620</v>
      </c>
      <c r="W64" s="9">
        <v>1992.14</v>
      </c>
      <c r="X64" s="9">
        <v>1839.68</v>
      </c>
      <c r="Y64" s="7">
        <v>0</v>
      </c>
      <c r="Z64" s="7">
        <v>788.18</v>
      </c>
    </row>
    <row r="65" spans="1:26" x14ac:dyDescent="0.35">
      <c r="A65" s="7" t="s">
        <v>27</v>
      </c>
      <c r="B65" s="7" t="s">
        <v>44</v>
      </c>
      <c r="C65" s="7" t="s">
        <v>47</v>
      </c>
      <c r="D65" s="7" t="s">
        <v>76</v>
      </c>
      <c r="E65" s="7" t="s">
        <v>36</v>
      </c>
      <c r="F65" s="7" t="s">
        <v>77</v>
      </c>
      <c r="G65" s="7">
        <v>2017</v>
      </c>
      <c r="H65" s="7" t="str">
        <f>CONCATENATE("14270338024")</f>
        <v>14270338024</v>
      </c>
      <c r="I65" s="7" t="s">
        <v>30</v>
      </c>
      <c r="J65" s="7" t="s">
        <v>31</v>
      </c>
      <c r="K65" s="7" t="str">
        <f>CONCATENATE("")</f>
        <v/>
      </c>
      <c r="L65" s="7" t="str">
        <f>CONCATENATE("4 4.4 4c")</f>
        <v>4 4.4 4c</v>
      </c>
      <c r="M65" s="7" t="str">
        <f>CONCATENATE("RCCVTI83P10A462B")</f>
        <v>RCCVTI83P10A462B</v>
      </c>
      <c r="N65" s="7" t="s">
        <v>152</v>
      </c>
      <c r="O65" s="7" t="s">
        <v>98</v>
      </c>
      <c r="P65" s="8">
        <v>44537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1505.02</v>
      </c>
      <c r="W65" s="7">
        <v>648.96</v>
      </c>
      <c r="X65" s="7">
        <v>599.29999999999995</v>
      </c>
      <c r="Y65" s="7">
        <v>0</v>
      </c>
      <c r="Z65" s="7">
        <v>256.76</v>
      </c>
    </row>
    <row r="66" spans="1:26" x14ac:dyDescent="0.35">
      <c r="A66" s="7" t="s">
        <v>27</v>
      </c>
      <c r="B66" s="7" t="s">
        <v>44</v>
      </c>
      <c r="C66" s="7" t="s">
        <v>47</v>
      </c>
      <c r="D66" s="7" t="s">
        <v>76</v>
      </c>
      <c r="E66" s="7" t="s">
        <v>29</v>
      </c>
      <c r="F66" s="7" t="s">
        <v>153</v>
      </c>
      <c r="G66" s="7">
        <v>2017</v>
      </c>
      <c r="H66" s="7" t="str">
        <f>CONCATENATE("14270337331")</f>
        <v>14270337331</v>
      </c>
      <c r="I66" s="7" t="s">
        <v>30</v>
      </c>
      <c r="J66" s="7" t="s">
        <v>31</v>
      </c>
      <c r="K66" s="7" t="str">
        <f>CONCATENATE("")</f>
        <v/>
      </c>
      <c r="L66" s="7" t="str">
        <f>CONCATENATE("4 4.1 2a")</f>
        <v>4 4.1 2a</v>
      </c>
      <c r="M66" s="7" t="str">
        <f>CONCATENATE("FLCLDA86D11H769B")</f>
        <v>FLCLDA86D11H769B</v>
      </c>
      <c r="N66" s="7" t="s">
        <v>154</v>
      </c>
      <c r="O66" s="7" t="s">
        <v>155</v>
      </c>
      <c r="P66" s="8">
        <v>44537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29452.81</v>
      </c>
      <c r="W66" s="9">
        <v>12700.05</v>
      </c>
      <c r="X66" s="9">
        <v>11728.11</v>
      </c>
      <c r="Y66" s="7">
        <v>0</v>
      </c>
      <c r="Z66" s="9">
        <v>5024.6499999999996</v>
      </c>
    </row>
    <row r="67" spans="1:26" x14ac:dyDescent="0.35">
      <c r="A67" s="7" t="s">
        <v>27</v>
      </c>
      <c r="B67" s="7" t="s">
        <v>44</v>
      </c>
      <c r="C67" s="7" t="s">
        <v>47</v>
      </c>
      <c r="D67" s="7" t="s">
        <v>76</v>
      </c>
      <c r="E67" s="7" t="s">
        <v>36</v>
      </c>
      <c r="F67" s="7" t="s">
        <v>77</v>
      </c>
      <c r="G67" s="7">
        <v>2017</v>
      </c>
      <c r="H67" s="7" t="str">
        <f>CONCATENATE("14270333926")</f>
        <v>14270333926</v>
      </c>
      <c r="I67" s="7" t="s">
        <v>30</v>
      </c>
      <c r="J67" s="7" t="s">
        <v>31</v>
      </c>
      <c r="K67" s="7" t="str">
        <f>CONCATENATE("")</f>
        <v/>
      </c>
      <c r="L67" s="7" t="str">
        <f>CONCATENATE("4 4.4 4c")</f>
        <v>4 4.4 4c</v>
      </c>
      <c r="M67" s="7" t="str">
        <f>CONCATENATE("VGNLLN61M50Z110B")</f>
        <v>VGNLLN61M50Z110B</v>
      </c>
      <c r="N67" s="7" t="s">
        <v>156</v>
      </c>
      <c r="O67" s="7" t="s">
        <v>157</v>
      </c>
      <c r="P67" s="8">
        <v>44537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1983.94</v>
      </c>
      <c r="W67" s="7">
        <v>855.47</v>
      </c>
      <c r="X67" s="7">
        <v>790</v>
      </c>
      <c r="Y67" s="7">
        <v>0</v>
      </c>
      <c r="Z67" s="7">
        <v>338.47</v>
      </c>
    </row>
    <row r="68" spans="1:26" x14ac:dyDescent="0.35">
      <c r="A68" s="7" t="s">
        <v>27</v>
      </c>
      <c r="B68" s="7" t="s">
        <v>28</v>
      </c>
      <c r="C68" s="7" t="s">
        <v>47</v>
      </c>
      <c r="D68" s="7" t="s">
        <v>63</v>
      </c>
      <c r="E68" s="7" t="s">
        <v>36</v>
      </c>
      <c r="F68" s="7" t="s">
        <v>130</v>
      </c>
      <c r="G68" s="7">
        <v>2021</v>
      </c>
      <c r="H68" s="7" t="str">
        <f>CONCATENATE("14210066982")</f>
        <v>14210066982</v>
      </c>
      <c r="I68" s="7" t="s">
        <v>30</v>
      </c>
      <c r="J68" s="7" t="s">
        <v>31</v>
      </c>
      <c r="K68" s="7" t="str">
        <f>CONCATENATE("")</f>
        <v/>
      </c>
      <c r="L68" s="7" t="str">
        <f>CONCATENATE("13 13.1 4a")</f>
        <v>13 13.1 4a</v>
      </c>
      <c r="M68" s="7" t="str">
        <f>CONCATENATE("PRGDNC34M20L500N")</f>
        <v>PRGDNC34M20L500N</v>
      </c>
      <c r="N68" s="7" t="s">
        <v>158</v>
      </c>
      <c r="O68" s="7" t="s">
        <v>115</v>
      </c>
      <c r="P68" s="8">
        <v>44536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1772.02</v>
      </c>
      <c r="W68" s="7">
        <v>764.1</v>
      </c>
      <c r="X68" s="7">
        <v>705.62</v>
      </c>
      <c r="Y68" s="7">
        <v>0</v>
      </c>
      <c r="Z68" s="7">
        <v>302.3</v>
      </c>
    </row>
    <row r="69" spans="1:26" x14ac:dyDescent="0.35">
      <c r="A69" s="7" t="s">
        <v>27</v>
      </c>
      <c r="B69" s="7" t="s">
        <v>28</v>
      </c>
      <c r="C69" s="7" t="s">
        <v>47</v>
      </c>
      <c r="D69" s="7" t="s">
        <v>63</v>
      </c>
      <c r="E69" s="7" t="s">
        <v>42</v>
      </c>
      <c r="F69" s="7" t="s">
        <v>159</v>
      </c>
      <c r="G69" s="7">
        <v>2021</v>
      </c>
      <c r="H69" s="7" t="str">
        <f>CONCATENATE("14210816006")</f>
        <v>14210816006</v>
      </c>
      <c r="I69" s="7" t="s">
        <v>30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CONCATENATE("TNGMRA53S69H958N")</f>
        <v>TNGMRA53S69H958N</v>
      </c>
      <c r="N69" s="7" t="s">
        <v>160</v>
      </c>
      <c r="O69" s="7" t="s">
        <v>115</v>
      </c>
      <c r="P69" s="8">
        <v>44536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7138.84</v>
      </c>
      <c r="W69" s="9">
        <v>3078.27</v>
      </c>
      <c r="X69" s="9">
        <v>2842.69</v>
      </c>
      <c r="Y69" s="7">
        <v>0</v>
      </c>
      <c r="Z69" s="9">
        <v>1217.8800000000001</v>
      </c>
    </row>
    <row r="70" spans="1:26" x14ac:dyDescent="0.35">
      <c r="A70" s="7" t="s">
        <v>27</v>
      </c>
      <c r="B70" s="7" t="s">
        <v>28</v>
      </c>
      <c r="C70" s="7" t="s">
        <v>47</v>
      </c>
      <c r="D70" s="7" t="s">
        <v>63</v>
      </c>
      <c r="E70" s="7" t="s">
        <v>38</v>
      </c>
      <c r="F70" s="7" t="s">
        <v>161</v>
      </c>
      <c r="G70" s="7">
        <v>2021</v>
      </c>
      <c r="H70" s="7" t="str">
        <f>CONCATENATE("14211093704")</f>
        <v>14211093704</v>
      </c>
      <c r="I70" s="7" t="s">
        <v>30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CONCATENATE("BRSNDA48A47Z103Q")</f>
        <v>BRSNDA48A47Z103Q</v>
      </c>
      <c r="N70" s="7" t="s">
        <v>162</v>
      </c>
      <c r="O70" s="7" t="s">
        <v>115</v>
      </c>
      <c r="P70" s="8">
        <v>44536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9000</v>
      </c>
      <c r="W70" s="9">
        <v>3880.8</v>
      </c>
      <c r="X70" s="9">
        <v>3583.8</v>
      </c>
      <c r="Y70" s="7">
        <v>0</v>
      </c>
      <c r="Z70" s="9">
        <v>1535.4</v>
      </c>
    </row>
    <row r="71" spans="1:26" x14ac:dyDescent="0.35">
      <c r="A71" s="7" t="s">
        <v>27</v>
      </c>
      <c r="B71" s="7" t="s">
        <v>28</v>
      </c>
      <c r="C71" s="7" t="s">
        <v>47</v>
      </c>
      <c r="D71" s="7" t="s">
        <v>63</v>
      </c>
      <c r="E71" s="7" t="s">
        <v>41</v>
      </c>
      <c r="F71" s="7" t="s">
        <v>163</v>
      </c>
      <c r="G71" s="7">
        <v>2021</v>
      </c>
      <c r="H71" s="7" t="str">
        <f>CONCATENATE("14211197679")</f>
        <v>14211197679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CONCATENATE("01141170413")</f>
        <v>01141170413</v>
      </c>
      <c r="N71" s="7" t="s">
        <v>164</v>
      </c>
      <c r="O71" s="7" t="s">
        <v>115</v>
      </c>
      <c r="P71" s="8">
        <v>44536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3149.06</v>
      </c>
      <c r="W71" s="9">
        <v>1357.87</v>
      </c>
      <c r="X71" s="9">
        <v>1253.96</v>
      </c>
      <c r="Y71" s="7">
        <v>0</v>
      </c>
      <c r="Z71" s="7">
        <v>537.23</v>
      </c>
    </row>
    <row r="72" spans="1:26" ht="17.5" x14ac:dyDescent="0.35">
      <c r="A72" s="7" t="s">
        <v>27</v>
      </c>
      <c r="B72" s="7" t="s">
        <v>28</v>
      </c>
      <c r="C72" s="7" t="s">
        <v>47</v>
      </c>
      <c r="D72" s="7" t="s">
        <v>63</v>
      </c>
      <c r="E72" s="7" t="s">
        <v>36</v>
      </c>
      <c r="F72" s="7" t="s">
        <v>165</v>
      </c>
      <c r="G72" s="7">
        <v>2021</v>
      </c>
      <c r="H72" s="7" t="str">
        <f>CONCATENATE("14210497674")</f>
        <v>14210497674</v>
      </c>
      <c r="I72" s="7" t="s">
        <v>30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CONCATENATE("BRNMTT73M30G453V")</f>
        <v>BRNMTT73M30G453V</v>
      </c>
      <c r="N72" s="7" t="s">
        <v>166</v>
      </c>
      <c r="O72" s="7" t="s">
        <v>115</v>
      </c>
      <c r="P72" s="8">
        <v>44536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1403.68</v>
      </c>
      <c r="W72" s="7">
        <v>605.27</v>
      </c>
      <c r="X72" s="7">
        <v>558.95000000000005</v>
      </c>
      <c r="Y72" s="7">
        <v>0</v>
      </c>
      <c r="Z72" s="7">
        <v>239.46</v>
      </c>
    </row>
    <row r="73" spans="1:26" x14ac:dyDescent="0.35">
      <c r="A73" s="7" t="s">
        <v>27</v>
      </c>
      <c r="B73" s="7" t="s">
        <v>28</v>
      </c>
      <c r="C73" s="7" t="s">
        <v>47</v>
      </c>
      <c r="D73" s="7" t="s">
        <v>63</v>
      </c>
      <c r="E73" s="7" t="s">
        <v>37</v>
      </c>
      <c r="F73" s="7" t="s">
        <v>136</v>
      </c>
      <c r="G73" s="7">
        <v>2021</v>
      </c>
      <c r="H73" s="7" t="str">
        <f>CONCATENATE("14210776168")</f>
        <v>14210776168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CONCATENATE("CLNNRC83M16I459C")</f>
        <v>CLNNRC83M16I459C</v>
      </c>
      <c r="N73" s="7" t="s">
        <v>167</v>
      </c>
      <c r="O73" s="7" t="s">
        <v>115</v>
      </c>
      <c r="P73" s="8">
        <v>44536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2931.02</v>
      </c>
      <c r="W73" s="9">
        <v>1263.8599999999999</v>
      </c>
      <c r="X73" s="9">
        <v>1167.1300000000001</v>
      </c>
      <c r="Y73" s="7">
        <v>0</v>
      </c>
      <c r="Z73" s="7">
        <v>500.03</v>
      </c>
    </row>
    <row r="74" spans="1:26" x14ac:dyDescent="0.35">
      <c r="A74" s="7" t="s">
        <v>27</v>
      </c>
      <c r="B74" s="7" t="s">
        <v>28</v>
      </c>
      <c r="C74" s="7" t="s">
        <v>47</v>
      </c>
      <c r="D74" s="7" t="s">
        <v>63</v>
      </c>
      <c r="E74" s="7" t="s">
        <v>37</v>
      </c>
      <c r="F74" s="7" t="s">
        <v>136</v>
      </c>
      <c r="G74" s="7">
        <v>2021</v>
      </c>
      <c r="H74" s="7" t="str">
        <f>CONCATENATE("14210236221")</f>
        <v>14210236221</v>
      </c>
      <c r="I74" s="7" t="s">
        <v>30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CONCATENATE("CPNSMN68R27E785Z")</f>
        <v>CPNSMN68R27E785Z</v>
      </c>
      <c r="N74" s="7" t="s">
        <v>168</v>
      </c>
      <c r="O74" s="7" t="s">
        <v>115</v>
      </c>
      <c r="P74" s="8">
        <v>44536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4648.5600000000004</v>
      </c>
      <c r="W74" s="9">
        <v>2004.46</v>
      </c>
      <c r="X74" s="9">
        <v>1851.06</v>
      </c>
      <c r="Y74" s="7">
        <v>0</v>
      </c>
      <c r="Z74" s="7">
        <v>793.04</v>
      </c>
    </row>
    <row r="75" spans="1:26" x14ac:dyDescent="0.35">
      <c r="A75" s="7" t="s">
        <v>27</v>
      </c>
      <c r="B75" s="7" t="s">
        <v>44</v>
      </c>
      <c r="C75" s="7" t="s">
        <v>47</v>
      </c>
      <c r="D75" s="7" t="s">
        <v>56</v>
      </c>
      <c r="E75" s="7" t="s">
        <v>43</v>
      </c>
      <c r="F75" s="7" t="s">
        <v>43</v>
      </c>
      <c r="G75" s="7">
        <v>2017</v>
      </c>
      <c r="H75" s="7" t="str">
        <f>CONCATENATE("14270333678")</f>
        <v>14270333678</v>
      </c>
      <c r="I75" s="7" t="s">
        <v>30</v>
      </c>
      <c r="J75" s="7" t="s">
        <v>31</v>
      </c>
      <c r="K75" s="7" t="str">
        <f>CONCATENATE("")</f>
        <v/>
      </c>
      <c r="L75" s="7" t="str">
        <f>CONCATENATE("4 4.1 2a")</f>
        <v>4 4.1 2a</v>
      </c>
      <c r="M75" s="7" t="str">
        <f>CONCATENATE("01910950433")</f>
        <v>01910950433</v>
      </c>
      <c r="N75" s="7" t="s">
        <v>169</v>
      </c>
      <c r="O75" s="7" t="s">
        <v>170</v>
      </c>
      <c r="P75" s="8">
        <v>44533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35102.550000000003</v>
      </c>
      <c r="W75" s="9">
        <v>15136.22</v>
      </c>
      <c r="X75" s="9">
        <v>13977.84</v>
      </c>
      <c r="Y75" s="7">
        <v>0</v>
      </c>
      <c r="Z75" s="9">
        <v>5988.49</v>
      </c>
    </row>
    <row r="76" spans="1:26" x14ac:dyDescent="0.35">
      <c r="A76" s="7" t="s">
        <v>27</v>
      </c>
      <c r="B76" s="7" t="s">
        <v>44</v>
      </c>
      <c r="C76" s="7" t="s">
        <v>47</v>
      </c>
      <c r="D76" s="7" t="s">
        <v>56</v>
      </c>
      <c r="E76" s="7" t="s">
        <v>43</v>
      </c>
      <c r="F76" s="7" t="s">
        <v>43</v>
      </c>
      <c r="G76" s="7">
        <v>2017</v>
      </c>
      <c r="H76" s="7" t="str">
        <f>CONCATENATE("14270333694")</f>
        <v>14270333694</v>
      </c>
      <c r="I76" s="7" t="s">
        <v>30</v>
      </c>
      <c r="J76" s="7" t="s">
        <v>31</v>
      </c>
      <c r="K76" s="7" t="str">
        <f>CONCATENATE("")</f>
        <v/>
      </c>
      <c r="L76" s="7" t="str">
        <f>CONCATENATE("19 19.4 6b")</f>
        <v>19 19.4 6b</v>
      </c>
      <c r="M76" s="7" t="str">
        <f>CONCATENATE("01119560439")</f>
        <v>01119560439</v>
      </c>
      <c r="N76" s="7" t="s">
        <v>171</v>
      </c>
      <c r="O76" s="7" t="s">
        <v>172</v>
      </c>
      <c r="P76" s="8">
        <v>44532</v>
      </c>
      <c r="Q76" s="7" t="s">
        <v>32</v>
      </c>
      <c r="R76" s="7" t="s">
        <v>45</v>
      </c>
      <c r="S76" s="7" t="s">
        <v>34</v>
      </c>
      <c r="T76" s="7"/>
      <c r="U76" s="7" t="s">
        <v>35</v>
      </c>
      <c r="V76" s="9">
        <v>28450.52</v>
      </c>
      <c r="W76" s="9">
        <v>12267.86</v>
      </c>
      <c r="X76" s="9">
        <v>11329</v>
      </c>
      <c r="Y76" s="7">
        <v>0</v>
      </c>
      <c r="Z76" s="9">
        <v>4853.66</v>
      </c>
    </row>
    <row r="77" spans="1:26" x14ac:dyDescent="0.35">
      <c r="A77" s="7" t="s">
        <v>27</v>
      </c>
      <c r="B77" s="7" t="s">
        <v>44</v>
      </c>
      <c r="C77" s="7" t="s">
        <v>47</v>
      </c>
      <c r="D77" s="7" t="s">
        <v>52</v>
      </c>
      <c r="E77" s="7" t="s">
        <v>43</v>
      </c>
      <c r="F77" s="7" t="s">
        <v>43</v>
      </c>
      <c r="G77" s="7">
        <v>2017</v>
      </c>
      <c r="H77" s="7" t="str">
        <f>CONCATENATE("14270333686")</f>
        <v>14270333686</v>
      </c>
      <c r="I77" s="7" t="s">
        <v>30</v>
      </c>
      <c r="J77" s="7" t="s">
        <v>31</v>
      </c>
      <c r="K77" s="7" t="str">
        <f>CONCATENATE("")</f>
        <v/>
      </c>
      <c r="L77" s="7" t="str">
        <f>CONCATENATE("19 19.4 6b")</f>
        <v>19 19.4 6b</v>
      </c>
      <c r="M77" s="7" t="str">
        <f>CONCATENATE("01377860414")</f>
        <v>01377860414</v>
      </c>
      <c r="N77" s="7" t="s">
        <v>173</v>
      </c>
      <c r="O77" s="7" t="s">
        <v>172</v>
      </c>
      <c r="P77" s="8">
        <v>44532</v>
      </c>
      <c r="Q77" s="7" t="s">
        <v>32</v>
      </c>
      <c r="R77" s="7" t="s">
        <v>45</v>
      </c>
      <c r="S77" s="7" t="s">
        <v>34</v>
      </c>
      <c r="T77" s="7"/>
      <c r="U77" s="7" t="s">
        <v>35</v>
      </c>
      <c r="V77" s="9">
        <v>172663.54</v>
      </c>
      <c r="W77" s="9">
        <v>74452.52</v>
      </c>
      <c r="X77" s="9">
        <v>68754.62</v>
      </c>
      <c r="Y77" s="7">
        <v>0</v>
      </c>
      <c r="Z77" s="9">
        <v>29456.400000000001</v>
      </c>
    </row>
    <row r="78" spans="1:26" x14ac:dyDescent="0.35">
      <c r="A78" s="7" t="s">
        <v>27</v>
      </c>
      <c r="B78" s="7" t="s">
        <v>44</v>
      </c>
      <c r="C78" s="7" t="s">
        <v>47</v>
      </c>
      <c r="D78" s="7" t="s">
        <v>52</v>
      </c>
      <c r="E78" s="7" t="s">
        <v>43</v>
      </c>
      <c r="F78" s="7" t="s">
        <v>43</v>
      </c>
      <c r="G78" s="7">
        <v>2017</v>
      </c>
      <c r="H78" s="7" t="str">
        <f>CONCATENATE("14270333702")</f>
        <v>14270333702</v>
      </c>
      <c r="I78" s="7" t="s">
        <v>30</v>
      </c>
      <c r="J78" s="7" t="s">
        <v>31</v>
      </c>
      <c r="K78" s="7" t="str">
        <f>CONCATENATE("")</f>
        <v/>
      </c>
      <c r="L78" s="7" t="str">
        <f>CONCATENATE("19 19.4 6b")</f>
        <v>19 19.4 6b</v>
      </c>
      <c r="M78" s="7" t="str">
        <f>CONCATENATE("01119560439")</f>
        <v>01119560439</v>
      </c>
      <c r="N78" s="7" t="s">
        <v>171</v>
      </c>
      <c r="O78" s="7" t="s">
        <v>172</v>
      </c>
      <c r="P78" s="8">
        <v>44532</v>
      </c>
      <c r="Q78" s="7" t="s">
        <v>32</v>
      </c>
      <c r="R78" s="7" t="s">
        <v>45</v>
      </c>
      <c r="S78" s="7" t="s">
        <v>34</v>
      </c>
      <c r="T78" s="7"/>
      <c r="U78" s="7" t="s">
        <v>35</v>
      </c>
      <c r="V78" s="9">
        <v>217335.26</v>
      </c>
      <c r="W78" s="9">
        <v>93714.96</v>
      </c>
      <c r="X78" s="9">
        <v>86542.9</v>
      </c>
      <c r="Y78" s="7">
        <v>0</v>
      </c>
      <c r="Z78" s="9">
        <v>37077.4</v>
      </c>
    </row>
    <row r="79" spans="1:26" x14ac:dyDescent="0.35">
      <c r="A79" s="7" t="s">
        <v>27</v>
      </c>
      <c r="B79" s="7" t="s">
        <v>44</v>
      </c>
      <c r="C79" s="7" t="s">
        <v>47</v>
      </c>
      <c r="D79" s="7" t="s">
        <v>56</v>
      </c>
      <c r="E79" s="7" t="s">
        <v>43</v>
      </c>
      <c r="F79" s="7" t="s">
        <v>43</v>
      </c>
      <c r="G79" s="7">
        <v>2017</v>
      </c>
      <c r="H79" s="7" t="str">
        <f>CONCATENATE("14270338818")</f>
        <v>14270338818</v>
      </c>
      <c r="I79" s="7" t="s">
        <v>40</v>
      </c>
      <c r="J79" s="7" t="s">
        <v>31</v>
      </c>
      <c r="K79" s="7" t="str">
        <f>CONCATENATE("")</f>
        <v/>
      </c>
      <c r="L79" s="7" t="str">
        <f>CONCATENATE("4 4.1 2a")</f>
        <v>4 4.1 2a</v>
      </c>
      <c r="M79" s="7" t="str">
        <f>CONCATENATE("01909630434")</f>
        <v>01909630434</v>
      </c>
      <c r="N79" s="7" t="s">
        <v>57</v>
      </c>
      <c r="O79" s="7" t="s">
        <v>174</v>
      </c>
      <c r="P79" s="8">
        <v>44539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13859.15</v>
      </c>
      <c r="W79" s="9">
        <v>5976.07</v>
      </c>
      <c r="X79" s="9">
        <v>5518.71</v>
      </c>
      <c r="Y79" s="7">
        <v>0</v>
      </c>
      <c r="Z79" s="9">
        <v>2364.37</v>
      </c>
    </row>
    <row r="80" spans="1:26" x14ac:dyDescent="0.35">
      <c r="A80" s="7" t="s">
        <v>27</v>
      </c>
      <c r="B80" s="7" t="s">
        <v>44</v>
      </c>
      <c r="C80" s="7" t="s">
        <v>47</v>
      </c>
      <c r="D80" s="7" t="s">
        <v>47</v>
      </c>
      <c r="E80" s="7" t="s">
        <v>43</v>
      </c>
      <c r="F80" s="7" t="s">
        <v>43</v>
      </c>
      <c r="G80" s="7">
        <v>2017</v>
      </c>
      <c r="H80" s="7" t="str">
        <f>CONCATENATE("14270339337")</f>
        <v>14270339337</v>
      </c>
      <c r="I80" s="7" t="s">
        <v>30</v>
      </c>
      <c r="J80" s="7" t="s">
        <v>31</v>
      </c>
      <c r="K80" s="7" t="str">
        <f>CONCATENATE("")</f>
        <v/>
      </c>
      <c r="L80" s="7" t="str">
        <f>CONCATENATE("19 19.2 6b")</f>
        <v>19 19.2 6b</v>
      </c>
      <c r="M80" s="7" t="str">
        <f>CONCATENATE("00358210441")</f>
        <v>00358210441</v>
      </c>
      <c r="N80" s="7" t="s">
        <v>175</v>
      </c>
      <c r="O80" s="7" t="s">
        <v>176</v>
      </c>
      <c r="P80" s="8">
        <v>44537</v>
      </c>
      <c r="Q80" s="7" t="s">
        <v>32</v>
      </c>
      <c r="R80" s="7" t="s">
        <v>46</v>
      </c>
      <c r="S80" s="7" t="s">
        <v>34</v>
      </c>
      <c r="T80" s="7"/>
      <c r="U80" s="7" t="s">
        <v>35</v>
      </c>
      <c r="V80" s="9">
        <v>33225.25</v>
      </c>
      <c r="W80" s="9">
        <v>14326.73</v>
      </c>
      <c r="X80" s="9">
        <v>13230.29</v>
      </c>
      <c r="Y80" s="7">
        <v>0</v>
      </c>
      <c r="Z80" s="9">
        <v>5668.23</v>
      </c>
    </row>
    <row r="81" spans="1:26" x14ac:dyDescent="0.35">
      <c r="A81" s="7" t="s">
        <v>27</v>
      </c>
      <c r="B81" s="7" t="s">
        <v>28</v>
      </c>
      <c r="C81" s="7" t="s">
        <v>47</v>
      </c>
      <c r="D81" s="7" t="s">
        <v>63</v>
      </c>
      <c r="E81" s="7" t="s">
        <v>36</v>
      </c>
      <c r="F81" s="7" t="s">
        <v>130</v>
      </c>
      <c r="G81" s="7">
        <v>2021</v>
      </c>
      <c r="H81" s="7" t="str">
        <f>CONCATENATE("14210445467")</f>
        <v>14210445467</v>
      </c>
      <c r="I81" s="7" t="s">
        <v>30</v>
      </c>
      <c r="J81" s="7" t="s">
        <v>31</v>
      </c>
      <c r="K81" s="7" t="str">
        <f>CONCATENATE("")</f>
        <v/>
      </c>
      <c r="L81" s="7" t="str">
        <f>CONCATENATE("13 13.1 4a")</f>
        <v>13 13.1 4a</v>
      </c>
      <c r="M81" s="7" t="str">
        <f>CONCATENATE("02508110414")</f>
        <v>02508110414</v>
      </c>
      <c r="N81" s="7" t="s">
        <v>177</v>
      </c>
      <c r="O81" s="7" t="s">
        <v>115</v>
      </c>
      <c r="P81" s="8">
        <v>44536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5037.92</v>
      </c>
      <c r="W81" s="9">
        <v>2172.35</v>
      </c>
      <c r="X81" s="9">
        <v>2006.1</v>
      </c>
      <c r="Y81" s="7">
        <v>0</v>
      </c>
      <c r="Z81" s="7">
        <v>859.47</v>
      </c>
    </row>
    <row r="82" spans="1:26" x14ac:dyDescent="0.35">
      <c r="A82" s="7" t="s">
        <v>27</v>
      </c>
      <c r="B82" s="7" t="s">
        <v>28</v>
      </c>
      <c r="C82" s="7" t="s">
        <v>47</v>
      </c>
      <c r="D82" s="7" t="s">
        <v>63</v>
      </c>
      <c r="E82" s="7" t="s">
        <v>29</v>
      </c>
      <c r="F82" s="7" t="s">
        <v>118</v>
      </c>
      <c r="G82" s="7">
        <v>2021</v>
      </c>
      <c r="H82" s="7" t="str">
        <f>CONCATENATE("14210035367")</f>
        <v>14210035367</v>
      </c>
      <c r="I82" s="7" t="s">
        <v>30</v>
      </c>
      <c r="J82" s="7" t="s">
        <v>31</v>
      </c>
      <c r="K82" s="7" t="str">
        <f>CONCATENATE("")</f>
        <v/>
      </c>
      <c r="L82" s="7" t="str">
        <f>CONCATENATE("13 13.1 4a")</f>
        <v>13 13.1 4a</v>
      </c>
      <c r="M82" s="7" t="str">
        <f>CONCATENATE("MSASLV32D14L500B")</f>
        <v>MSASLV32D14L500B</v>
      </c>
      <c r="N82" s="7" t="s">
        <v>178</v>
      </c>
      <c r="O82" s="7" t="s">
        <v>115</v>
      </c>
      <c r="P82" s="8">
        <v>44536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1355.94</v>
      </c>
      <c r="W82" s="7">
        <v>584.67999999999995</v>
      </c>
      <c r="X82" s="7">
        <v>539.94000000000005</v>
      </c>
      <c r="Y82" s="7">
        <v>0</v>
      </c>
      <c r="Z82" s="7">
        <v>231.32</v>
      </c>
    </row>
    <row r="83" spans="1:26" x14ac:dyDescent="0.35">
      <c r="A83" s="7" t="s">
        <v>27</v>
      </c>
      <c r="B83" s="7" t="s">
        <v>28</v>
      </c>
      <c r="C83" s="7" t="s">
        <v>47</v>
      </c>
      <c r="D83" s="7" t="s">
        <v>63</v>
      </c>
      <c r="E83" s="7" t="s">
        <v>36</v>
      </c>
      <c r="F83" s="7" t="s">
        <v>130</v>
      </c>
      <c r="G83" s="7">
        <v>2021</v>
      </c>
      <c r="H83" s="7" t="str">
        <f>CONCATENATE("14210745494")</f>
        <v>14210745494</v>
      </c>
      <c r="I83" s="7" t="s">
        <v>30</v>
      </c>
      <c r="J83" s="7" t="s">
        <v>31</v>
      </c>
      <c r="K83" s="7" t="str">
        <f>CONCATENATE("")</f>
        <v/>
      </c>
      <c r="L83" s="7" t="str">
        <f>CONCATENATE("13 13.1 4a")</f>
        <v>13 13.1 4a</v>
      </c>
      <c r="M83" s="7" t="str">
        <f>CONCATENATE("PRSMHL69E09L500V")</f>
        <v>PRSMHL69E09L500V</v>
      </c>
      <c r="N83" s="7" t="s">
        <v>179</v>
      </c>
      <c r="O83" s="7" t="s">
        <v>115</v>
      </c>
      <c r="P83" s="8">
        <v>44536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1327.02</v>
      </c>
      <c r="W83" s="7">
        <v>572.21</v>
      </c>
      <c r="X83" s="7">
        <v>528.41999999999996</v>
      </c>
      <c r="Y83" s="7">
        <v>0</v>
      </c>
      <c r="Z83" s="7">
        <v>226.39</v>
      </c>
    </row>
    <row r="84" spans="1:26" x14ac:dyDescent="0.35">
      <c r="A84" s="7" t="s">
        <v>27</v>
      </c>
      <c r="B84" s="7" t="s">
        <v>28</v>
      </c>
      <c r="C84" s="7" t="s">
        <v>47</v>
      </c>
      <c r="D84" s="7" t="s">
        <v>63</v>
      </c>
      <c r="E84" s="7" t="s">
        <v>36</v>
      </c>
      <c r="F84" s="7" t="s">
        <v>180</v>
      </c>
      <c r="G84" s="7">
        <v>2021</v>
      </c>
      <c r="H84" s="7" t="str">
        <f>CONCATENATE("14210726858")</f>
        <v>14210726858</v>
      </c>
      <c r="I84" s="7" t="s">
        <v>30</v>
      </c>
      <c r="J84" s="7" t="s">
        <v>31</v>
      </c>
      <c r="K84" s="7" t="str">
        <f>CONCATENATE("")</f>
        <v/>
      </c>
      <c r="L84" s="7" t="str">
        <f>CONCATENATE("13 13.1 4a")</f>
        <v>13 13.1 4a</v>
      </c>
      <c r="M84" s="7" t="str">
        <f>CONCATENATE("BLPLCN60A10I459A")</f>
        <v>BLPLCN60A10I459A</v>
      </c>
      <c r="N84" s="7" t="s">
        <v>181</v>
      </c>
      <c r="O84" s="7" t="s">
        <v>115</v>
      </c>
      <c r="P84" s="8">
        <v>44536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4391.18</v>
      </c>
      <c r="W84" s="9">
        <v>1893.48</v>
      </c>
      <c r="X84" s="9">
        <v>1748.57</v>
      </c>
      <c r="Y84" s="7">
        <v>0</v>
      </c>
      <c r="Z84" s="7">
        <v>749.13</v>
      </c>
    </row>
    <row r="85" spans="1:26" x14ac:dyDescent="0.35">
      <c r="A85" s="7" t="s">
        <v>27</v>
      </c>
      <c r="B85" s="7" t="s">
        <v>28</v>
      </c>
      <c r="C85" s="7" t="s">
        <v>47</v>
      </c>
      <c r="D85" s="7" t="s">
        <v>63</v>
      </c>
      <c r="E85" s="7" t="s">
        <v>41</v>
      </c>
      <c r="F85" s="7" t="s">
        <v>163</v>
      </c>
      <c r="G85" s="7">
        <v>2021</v>
      </c>
      <c r="H85" s="7" t="str">
        <f>CONCATENATE("14211116273")</f>
        <v>14211116273</v>
      </c>
      <c r="I85" s="7" t="s">
        <v>30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CONCATENATE("CRNSBN70T62B352D")</f>
        <v>CRNSBN70T62B352D</v>
      </c>
      <c r="N85" s="7" t="s">
        <v>182</v>
      </c>
      <c r="O85" s="7" t="s">
        <v>115</v>
      </c>
      <c r="P85" s="8">
        <v>44536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2900.78</v>
      </c>
      <c r="W85" s="9">
        <v>1250.82</v>
      </c>
      <c r="X85" s="9">
        <v>1155.0899999999999</v>
      </c>
      <c r="Y85" s="7">
        <v>0</v>
      </c>
      <c r="Z85" s="7">
        <v>494.87</v>
      </c>
    </row>
    <row r="86" spans="1:26" x14ac:dyDescent="0.35">
      <c r="A86" s="7" t="s">
        <v>27</v>
      </c>
      <c r="B86" s="7" t="s">
        <v>28</v>
      </c>
      <c r="C86" s="7" t="s">
        <v>47</v>
      </c>
      <c r="D86" s="7" t="s">
        <v>63</v>
      </c>
      <c r="E86" s="7" t="s">
        <v>37</v>
      </c>
      <c r="F86" s="7" t="s">
        <v>113</v>
      </c>
      <c r="G86" s="7">
        <v>2021</v>
      </c>
      <c r="H86" s="7" t="str">
        <f>CONCATENATE("14210772662")</f>
        <v>14210772662</v>
      </c>
      <c r="I86" s="7" t="s">
        <v>30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CONCATENATE("01065340414")</f>
        <v>01065340414</v>
      </c>
      <c r="N86" s="7" t="s">
        <v>183</v>
      </c>
      <c r="O86" s="7" t="s">
        <v>115</v>
      </c>
      <c r="P86" s="8">
        <v>44536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6034.81</v>
      </c>
      <c r="W86" s="9">
        <v>2602.21</v>
      </c>
      <c r="X86" s="9">
        <v>2403.06</v>
      </c>
      <c r="Y86" s="7">
        <v>0</v>
      </c>
      <c r="Z86" s="9">
        <v>1029.54</v>
      </c>
    </row>
    <row r="87" spans="1:26" x14ac:dyDescent="0.35">
      <c r="A87" s="7" t="s">
        <v>27</v>
      </c>
      <c r="B87" s="7" t="s">
        <v>28</v>
      </c>
      <c r="C87" s="7" t="s">
        <v>47</v>
      </c>
      <c r="D87" s="7" t="s">
        <v>63</v>
      </c>
      <c r="E87" s="7" t="s">
        <v>29</v>
      </c>
      <c r="F87" s="7" t="s">
        <v>122</v>
      </c>
      <c r="G87" s="7">
        <v>2021</v>
      </c>
      <c r="H87" s="7" t="str">
        <f>CONCATENATE("14210448982")</f>
        <v>14210448982</v>
      </c>
      <c r="I87" s="7" t="s">
        <v>30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CONCATENATE("VLNRKE80T50I459Q")</f>
        <v>VLNRKE80T50I459Q</v>
      </c>
      <c r="N87" s="7" t="s">
        <v>184</v>
      </c>
      <c r="O87" s="7" t="s">
        <v>115</v>
      </c>
      <c r="P87" s="8">
        <v>44536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1991.52</v>
      </c>
      <c r="W87" s="7">
        <v>858.74</v>
      </c>
      <c r="X87" s="7">
        <v>793.02</v>
      </c>
      <c r="Y87" s="7">
        <v>0</v>
      </c>
      <c r="Z87" s="7">
        <v>339.76</v>
      </c>
    </row>
    <row r="88" spans="1:26" x14ac:dyDescent="0.35">
      <c r="A88" s="7" t="s">
        <v>27</v>
      </c>
      <c r="B88" s="7" t="s">
        <v>44</v>
      </c>
      <c r="C88" s="7" t="s">
        <v>47</v>
      </c>
      <c r="D88" s="7" t="s">
        <v>56</v>
      </c>
      <c r="E88" s="7" t="s">
        <v>43</v>
      </c>
      <c r="F88" s="7" t="s">
        <v>43</v>
      </c>
      <c r="G88" s="7">
        <v>2017</v>
      </c>
      <c r="H88" s="7" t="str">
        <f>CONCATENATE("14270333652")</f>
        <v>14270333652</v>
      </c>
      <c r="I88" s="7" t="s">
        <v>30</v>
      </c>
      <c r="J88" s="7" t="s">
        <v>31</v>
      </c>
      <c r="K88" s="7" t="str">
        <f>CONCATENATE("")</f>
        <v/>
      </c>
      <c r="L88" s="7" t="str">
        <f>CONCATENATE("6 6.1 2b")</f>
        <v>6 6.1 2b</v>
      </c>
      <c r="M88" s="7" t="str">
        <f>CONCATENATE("01910950433")</f>
        <v>01910950433</v>
      </c>
      <c r="N88" s="7" t="s">
        <v>169</v>
      </c>
      <c r="O88" s="7" t="s">
        <v>185</v>
      </c>
      <c r="P88" s="8">
        <v>44533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10185</v>
      </c>
      <c r="W88" s="9">
        <v>4391.7700000000004</v>
      </c>
      <c r="X88" s="9">
        <v>4055.67</v>
      </c>
      <c r="Y88" s="7">
        <v>0</v>
      </c>
      <c r="Z88" s="9">
        <v>1737.56</v>
      </c>
    </row>
    <row r="89" spans="1:26" x14ac:dyDescent="0.35">
      <c r="A89" s="7" t="s">
        <v>27</v>
      </c>
      <c r="B89" s="7" t="s">
        <v>44</v>
      </c>
      <c r="C89" s="7" t="s">
        <v>47</v>
      </c>
      <c r="D89" s="7" t="s">
        <v>47</v>
      </c>
      <c r="E89" s="7" t="s">
        <v>43</v>
      </c>
      <c r="F89" s="7" t="s">
        <v>43</v>
      </c>
      <c r="G89" s="7">
        <v>2017</v>
      </c>
      <c r="H89" s="7" t="str">
        <f>CONCATENATE("14270338735")</f>
        <v>14270338735</v>
      </c>
      <c r="I89" s="7" t="s">
        <v>30</v>
      </c>
      <c r="J89" s="7" t="s">
        <v>31</v>
      </c>
      <c r="K89" s="7" t="str">
        <f>CONCATENATE("")</f>
        <v/>
      </c>
      <c r="L89" s="7" t="str">
        <f>CONCATENATE("19 19.2 6b")</f>
        <v>19 19.2 6b</v>
      </c>
      <c r="M89" s="7" t="str">
        <f>CONCATENATE("80004250447")</f>
        <v>80004250447</v>
      </c>
      <c r="N89" s="7" t="s">
        <v>48</v>
      </c>
      <c r="O89" s="7" t="s">
        <v>186</v>
      </c>
      <c r="P89" s="8">
        <v>44537</v>
      </c>
      <c r="Q89" s="7" t="s">
        <v>32</v>
      </c>
      <c r="R89" s="7" t="s">
        <v>46</v>
      </c>
      <c r="S89" s="7" t="s">
        <v>34</v>
      </c>
      <c r="T89" s="7"/>
      <c r="U89" s="7" t="s">
        <v>35</v>
      </c>
      <c r="V89" s="9">
        <v>26838.76</v>
      </c>
      <c r="W89" s="9">
        <v>11572.87</v>
      </c>
      <c r="X89" s="9">
        <v>10687.19</v>
      </c>
      <c r="Y89" s="7">
        <v>0</v>
      </c>
      <c r="Z89" s="9">
        <v>4578.7</v>
      </c>
    </row>
    <row r="90" spans="1:26" x14ac:dyDescent="0.35">
      <c r="A90" s="7" t="s">
        <v>27</v>
      </c>
      <c r="B90" s="7" t="s">
        <v>28</v>
      </c>
      <c r="C90" s="7" t="s">
        <v>47</v>
      </c>
      <c r="D90" s="7" t="s">
        <v>52</v>
      </c>
      <c r="E90" s="7" t="s">
        <v>29</v>
      </c>
      <c r="F90" s="7" t="s">
        <v>187</v>
      </c>
      <c r="G90" s="7">
        <v>2021</v>
      </c>
      <c r="H90" s="7" t="str">
        <f>CONCATENATE("14211093753")</f>
        <v>14211093753</v>
      </c>
      <c r="I90" s="7" t="s">
        <v>30</v>
      </c>
      <c r="J90" s="7" t="s">
        <v>31</v>
      </c>
      <c r="K90" s="7" t="str">
        <f>CONCATENATE("")</f>
        <v/>
      </c>
      <c r="L90" s="7" t="str">
        <f>CONCATENATE("12 12.1 4a")</f>
        <v>12 12.1 4a</v>
      </c>
      <c r="M90" s="7" t="str">
        <f>CONCATENATE("LNCPLA66H27E388G")</f>
        <v>LNCPLA66H27E388G</v>
      </c>
      <c r="N90" s="7" t="s">
        <v>188</v>
      </c>
      <c r="O90" s="7" t="s">
        <v>189</v>
      </c>
      <c r="P90" s="8">
        <v>44536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2442.88</v>
      </c>
      <c r="W90" s="9">
        <v>1053.3699999999999</v>
      </c>
      <c r="X90" s="7">
        <v>972.75</v>
      </c>
      <c r="Y90" s="7">
        <v>0</v>
      </c>
      <c r="Z90" s="7">
        <v>416.76</v>
      </c>
    </row>
    <row r="91" spans="1:26" x14ac:dyDescent="0.35">
      <c r="A91" s="7" t="s">
        <v>27</v>
      </c>
      <c r="B91" s="7" t="s">
        <v>44</v>
      </c>
      <c r="C91" s="7" t="s">
        <v>47</v>
      </c>
      <c r="D91" s="7" t="s">
        <v>56</v>
      </c>
      <c r="E91" s="7" t="s">
        <v>43</v>
      </c>
      <c r="F91" s="7" t="s">
        <v>43</v>
      </c>
      <c r="G91" s="7">
        <v>2017</v>
      </c>
      <c r="H91" s="7" t="str">
        <f>CONCATENATE("14270337190")</f>
        <v>14270337190</v>
      </c>
      <c r="I91" s="7" t="s">
        <v>30</v>
      </c>
      <c r="J91" s="7" t="s">
        <v>31</v>
      </c>
      <c r="K91" s="7" t="str">
        <f>CONCATENATE("")</f>
        <v/>
      </c>
      <c r="L91" s="7" t="str">
        <f>CONCATENATE("4 4.3 2a")</f>
        <v>4 4.3 2a</v>
      </c>
      <c r="M91" s="7" t="str">
        <f>CONCATENATE("00224000430")</f>
        <v>00224000430</v>
      </c>
      <c r="N91" s="7" t="s">
        <v>190</v>
      </c>
      <c r="O91" s="7" t="s">
        <v>191</v>
      </c>
      <c r="P91" s="8">
        <v>44537</v>
      </c>
      <c r="Q91" s="7" t="s">
        <v>32</v>
      </c>
      <c r="R91" s="7" t="s">
        <v>46</v>
      </c>
      <c r="S91" s="7" t="s">
        <v>34</v>
      </c>
      <c r="T91" s="7"/>
      <c r="U91" s="7" t="s">
        <v>35</v>
      </c>
      <c r="V91" s="9">
        <v>37051.699999999997</v>
      </c>
      <c r="W91" s="9">
        <v>15976.69</v>
      </c>
      <c r="X91" s="9">
        <v>14753.99</v>
      </c>
      <c r="Y91" s="7">
        <v>0</v>
      </c>
      <c r="Z91" s="9">
        <v>6321.02</v>
      </c>
    </row>
    <row r="92" spans="1:26" x14ac:dyDescent="0.35">
      <c r="A92" s="7" t="s">
        <v>27</v>
      </c>
      <c r="B92" s="7" t="s">
        <v>44</v>
      </c>
      <c r="C92" s="7" t="s">
        <v>47</v>
      </c>
      <c r="D92" s="7" t="s">
        <v>63</v>
      </c>
      <c r="E92" s="7" t="s">
        <v>43</v>
      </c>
      <c r="F92" s="7" t="s">
        <v>43</v>
      </c>
      <c r="G92" s="7">
        <v>2017</v>
      </c>
      <c r="H92" s="7" t="str">
        <f>CONCATENATE("14270333603")</f>
        <v>14270333603</v>
      </c>
      <c r="I92" s="7" t="s">
        <v>30</v>
      </c>
      <c r="J92" s="7" t="s">
        <v>31</v>
      </c>
      <c r="K92" s="7" t="str">
        <f>CONCATENATE("")</f>
        <v/>
      </c>
      <c r="L92" s="7" t="str">
        <f>CONCATENATE("4 4.1 2a")</f>
        <v>4 4.1 2a</v>
      </c>
      <c r="M92" s="7" t="str">
        <f>CONCATENATE("01246270431")</f>
        <v>01246270431</v>
      </c>
      <c r="N92" s="7" t="s">
        <v>192</v>
      </c>
      <c r="O92" s="7" t="s">
        <v>193</v>
      </c>
      <c r="P92" s="8">
        <v>44533</v>
      </c>
      <c r="Q92" s="7" t="s">
        <v>32</v>
      </c>
      <c r="R92" s="7" t="s">
        <v>46</v>
      </c>
      <c r="S92" s="7" t="s">
        <v>34</v>
      </c>
      <c r="T92" s="7"/>
      <c r="U92" s="7" t="s">
        <v>35</v>
      </c>
      <c r="V92" s="9">
        <v>295628.32</v>
      </c>
      <c r="W92" s="9">
        <v>127474.93</v>
      </c>
      <c r="X92" s="9">
        <v>117719.2</v>
      </c>
      <c r="Y92" s="7">
        <v>0</v>
      </c>
      <c r="Z92" s="9">
        <v>50434.19</v>
      </c>
    </row>
    <row r="93" spans="1:26" x14ac:dyDescent="0.35">
      <c r="A93" s="7" t="s">
        <v>27</v>
      </c>
      <c r="B93" s="7" t="s">
        <v>44</v>
      </c>
      <c r="C93" s="7" t="s">
        <v>47</v>
      </c>
      <c r="D93" s="7" t="s">
        <v>56</v>
      </c>
      <c r="E93" s="7" t="s">
        <v>43</v>
      </c>
      <c r="F93" s="7" t="s">
        <v>43</v>
      </c>
      <c r="G93" s="7">
        <v>2017</v>
      </c>
      <c r="H93" s="7" t="str">
        <f>CONCATENATE("14270333546")</f>
        <v>14270333546</v>
      </c>
      <c r="I93" s="7" t="s">
        <v>30</v>
      </c>
      <c r="J93" s="7" t="s">
        <v>31</v>
      </c>
      <c r="K93" s="7" t="str">
        <f>CONCATENATE("")</f>
        <v/>
      </c>
      <c r="L93" s="7" t="str">
        <f>CONCATENATE("4 4.1 2a")</f>
        <v>4 4.1 2a</v>
      </c>
      <c r="M93" s="7" t="str">
        <f>CONCATENATE("CMBNRC61D09I156I")</f>
        <v>CMBNRC61D09I156I</v>
      </c>
      <c r="N93" s="7" t="s">
        <v>194</v>
      </c>
      <c r="O93" s="7" t="s">
        <v>195</v>
      </c>
      <c r="P93" s="8">
        <v>44533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9785.9699999999993</v>
      </c>
      <c r="W93" s="9">
        <v>4219.71</v>
      </c>
      <c r="X93" s="9">
        <v>3896.77</v>
      </c>
      <c r="Y93" s="7">
        <v>0</v>
      </c>
      <c r="Z93" s="9">
        <v>1669.49</v>
      </c>
    </row>
    <row r="94" spans="1:26" x14ac:dyDescent="0.35">
      <c r="A94" s="7" t="s">
        <v>27</v>
      </c>
      <c r="B94" s="7" t="s">
        <v>44</v>
      </c>
      <c r="C94" s="7" t="s">
        <v>47</v>
      </c>
      <c r="D94" s="7" t="s">
        <v>76</v>
      </c>
      <c r="E94" s="7" t="s">
        <v>42</v>
      </c>
      <c r="F94" s="7" t="s">
        <v>81</v>
      </c>
      <c r="G94" s="7">
        <v>2017</v>
      </c>
      <c r="H94" s="7" t="str">
        <f>CONCATENATE("14270333538")</f>
        <v>14270333538</v>
      </c>
      <c r="I94" s="7" t="s">
        <v>40</v>
      </c>
      <c r="J94" s="7" t="s">
        <v>31</v>
      </c>
      <c r="K94" s="7" t="str">
        <f>CONCATENATE("")</f>
        <v/>
      </c>
      <c r="L94" s="7" t="str">
        <f>CONCATENATE("4 4.1 2a")</f>
        <v>4 4.1 2a</v>
      </c>
      <c r="M94" s="7" t="str">
        <f>CONCATENATE("01655530440")</f>
        <v>01655530440</v>
      </c>
      <c r="N94" s="7" t="s">
        <v>196</v>
      </c>
      <c r="O94" s="7" t="s">
        <v>195</v>
      </c>
      <c r="P94" s="8">
        <v>44533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32909.339999999997</v>
      </c>
      <c r="W94" s="9">
        <v>14190.51</v>
      </c>
      <c r="X94" s="9">
        <v>13104.5</v>
      </c>
      <c r="Y94" s="7">
        <v>0</v>
      </c>
      <c r="Z94" s="9">
        <v>5614.33</v>
      </c>
    </row>
    <row r="95" spans="1:26" x14ac:dyDescent="0.35">
      <c r="A95" s="7" t="s">
        <v>27</v>
      </c>
      <c r="B95" s="7" t="s">
        <v>44</v>
      </c>
      <c r="C95" s="7" t="s">
        <v>47</v>
      </c>
      <c r="D95" s="7" t="s">
        <v>52</v>
      </c>
      <c r="E95" s="7" t="s">
        <v>29</v>
      </c>
      <c r="F95" s="7" t="s">
        <v>187</v>
      </c>
      <c r="G95" s="7">
        <v>2017</v>
      </c>
      <c r="H95" s="7" t="str">
        <f>CONCATENATE("14270333553")</f>
        <v>14270333553</v>
      </c>
      <c r="I95" s="7" t="s">
        <v>30</v>
      </c>
      <c r="J95" s="7" t="s">
        <v>31</v>
      </c>
      <c r="K95" s="7" t="str">
        <f>CONCATENATE("")</f>
        <v/>
      </c>
      <c r="L95" s="7" t="str">
        <f>CONCATENATE("4 4.1 2a")</f>
        <v>4 4.1 2a</v>
      </c>
      <c r="M95" s="7" t="str">
        <f>CONCATENATE("LDZNDR84P23E388K")</f>
        <v>LDZNDR84P23E388K</v>
      </c>
      <c r="N95" s="7" t="s">
        <v>197</v>
      </c>
      <c r="O95" s="7" t="s">
        <v>195</v>
      </c>
      <c r="P95" s="8">
        <v>44533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12858.5</v>
      </c>
      <c r="W95" s="9">
        <v>5544.59</v>
      </c>
      <c r="X95" s="9">
        <v>5120.25</v>
      </c>
      <c r="Y95" s="7">
        <v>0</v>
      </c>
      <c r="Z95" s="9">
        <v>2193.66</v>
      </c>
    </row>
    <row r="96" spans="1:26" ht="17.5" x14ac:dyDescent="0.35">
      <c r="A96" s="7" t="s">
        <v>27</v>
      </c>
      <c r="B96" s="7" t="s">
        <v>44</v>
      </c>
      <c r="C96" s="7" t="s">
        <v>47</v>
      </c>
      <c r="D96" s="7" t="s">
        <v>52</v>
      </c>
      <c r="E96" s="7" t="s">
        <v>43</v>
      </c>
      <c r="F96" s="7" t="s">
        <v>43</v>
      </c>
      <c r="G96" s="7">
        <v>2017</v>
      </c>
      <c r="H96" s="7" t="str">
        <f>CONCATENATE("14270338750")</f>
        <v>14270338750</v>
      </c>
      <c r="I96" s="7" t="s">
        <v>30</v>
      </c>
      <c r="J96" s="7" t="s">
        <v>31</v>
      </c>
      <c r="K96" s="7" t="str">
        <f>CONCATENATE("")</f>
        <v/>
      </c>
      <c r="L96" s="7" t="str">
        <f>CONCATENATE("6 6.1 2b")</f>
        <v>6 6.1 2b</v>
      </c>
      <c r="M96" s="7" t="str">
        <f>CONCATENATE("02708000423")</f>
        <v>02708000423</v>
      </c>
      <c r="N96" s="7" t="s">
        <v>198</v>
      </c>
      <c r="O96" s="7" t="s">
        <v>199</v>
      </c>
      <c r="P96" s="8">
        <v>44539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20370</v>
      </c>
      <c r="W96" s="9">
        <v>8783.5400000000009</v>
      </c>
      <c r="X96" s="9">
        <v>8111.33</v>
      </c>
      <c r="Y96" s="7">
        <v>0</v>
      </c>
      <c r="Z96" s="9">
        <v>3475.13</v>
      </c>
    </row>
    <row r="97" spans="1:26" x14ac:dyDescent="0.35">
      <c r="A97" s="7" t="s">
        <v>27</v>
      </c>
      <c r="B97" s="7" t="s">
        <v>44</v>
      </c>
      <c r="C97" s="7" t="s">
        <v>47</v>
      </c>
      <c r="D97" s="7" t="s">
        <v>47</v>
      </c>
      <c r="E97" s="7" t="s">
        <v>43</v>
      </c>
      <c r="F97" s="7" t="s">
        <v>43</v>
      </c>
      <c r="G97" s="7">
        <v>2017</v>
      </c>
      <c r="H97" s="7" t="str">
        <f>CONCATENATE("14270329130")</f>
        <v>14270329130</v>
      </c>
      <c r="I97" s="7" t="s">
        <v>30</v>
      </c>
      <c r="J97" s="7" t="s">
        <v>31</v>
      </c>
      <c r="K97" s="7" t="str">
        <f>CONCATENATE("")</f>
        <v/>
      </c>
      <c r="L97" s="7" t="str">
        <f>CONCATENATE("19 19.2 6b")</f>
        <v>19 19.2 6b</v>
      </c>
      <c r="M97" s="7" t="str">
        <f>CONCATENATE("00334990447")</f>
        <v>00334990447</v>
      </c>
      <c r="N97" s="7" t="s">
        <v>200</v>
      </c>
      <c r="O97" s="7" t="s">
        <v>201</v>
      </c>
      <c r="P97" s="8">
        <v>44537</v>
      </c>
      <c r="Q97" s="7" t="s">
        <v>32</v>
      </c>
      <c r="R97" s="7" t="s">
        <v>45</v>
      </c>
      <c r="S97" s="7" t="s">
        <v>34</v>
      </c>
      <c r="T97" s="7"/>
      <c r="U97" s="7" t="s">
        <v>35</v>
      </c>
      <c r="V97" s="9">
        <v>24098.36</v>
      </c>
      <c r="W97" s="9">
        <v>10391.209999999999</v>
      </c>
      <c r="X97" s="9">
        <v>9595.9699999999993</v>
      </c>
      <c r="Y97" s="7">
        <v>0</v>
      </c>
      <c r="Z97" s="9">
        <v>4111.18</v>
      </c>
    </row>
    <row r="98" spans="1:26" ht="17.5" x14ac:dyDescent="0.35">
      <c r="A98" s="7" t="s">
        <v>27</v>
      </c>
      <c r="B98" s="7" t="s">
        <v>28</v>
      </c>
      <c r="C98" s="7" t="s">
        <v>47</v>
      </c>
      <c r="D98" s="7" t="s">
        <v>56</v>
      </c>
      <c r="E98" s="7" t="s">
        <v>29</v>
      </c>
      <c r="F98" s="7" t="s">
        <v>84</v>
      </c>
      <c r="G98" s="7">
        <v>2020</v>
      </c>
      <c r="H98" s="7" t="str">
        <f>CONCATENATE("04240345985")</f>
        <v>04240345985</v>
      </c>
      <c r="I98" s="7" t="s">
        <v>30</v>
      </c>
      <c r="J98" s="7" t="s">
        <v>31</v>
      </c>
      <c r="K98" s="7" t="str">
        <f>CONCATENATE("")</f>
        <v/>
      </c>
      <c r="L98" s="7" t="str">
        <f>CONCATENATE("10 10.1 4a")</f>
        <v>10 10.1 4a</v>
      </c>
      <c r="M98" s="7" t="str">
        <f>CONCATENATE("01710950435")</f>
        <v>01710950435</v>
      </c>
      <c r="N98" s="7" t="s">
        <v>202</v>
      </c>
      <c r="O98" s="7" t="s">
        <v>203</v>
      </c>
      <c r="P98" s="8">
        <v>44537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2621.37</v>
      </c>
      <c r="W98" s="9">
        <v>1130.33</v>
      </c>
      <c r="X98" s="9">
        <v>1043.83</v>
      </c>
      <c r="Y98" s="7">
        <v>0</v>
      </c>
      <c r="Z98" s="7">
        <v>447.21</v>
      </c>
    </row>
    <row r="99" spans="1:26" x14ac:dyDescent="0.35">
      <c r="A99" s="7" t="s">
        <v>27</v>
      </c>
      <c r="B99" s="7" t="s">
        <v>28</v>
      </c>
      <c r="C99" s="7" t="s">
        <v>47</v>
      </c>
      <c r="D99" s="7" t="s">
        <v>56</v>
      </c>
      <c r="E99" s="7" t="s">
        <v>29</v>
      </c>
      <c r="F99" s="7" t="s">
        <v>204</v>
      </c>
      <c r="G99" s="7">
        <v>2021</v>
      </c>
      <c r="H99" s="7" t="str">
        <f>CONCATENATE("14210161056")</f>
        <v>14210161056</v>
      </c>
      <c r="I99" s="7" t="s">
        <v>30</v>
      </c>
      <c r="J99" s="7" t="s">
        <v>31</v>
      </c>
      <c r="K99" s="7" t="str">
        <f>CONCATENATE("")</f>
        <v/>
      </c>
      <c r="L99" s="7" t="str">
        <f>CONCATENATE("12 12.1 4a")</f>
        <v>12 12.1 4a</v>
      </c>
      <c r="M99" s="7" t="str">
        <f>CONCATENATE("CCRVNI66D53E783K")</f>
        <v>CCRVNI66D53E783K</v>
      </c>
      <c r="N99" s="7" t="s">
        <v>205</v>
      </c>
      <c r="O99" s="7" t="s">
        <v>189</v>
      </c>
      <c r="P99" s="8">
        <v>44536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1349.02</v>
      </c>
      <c r="W99" s="7">
        <v>581.70000000000005</v>
      </c>
      <c r="X99" s="7">
        <v>537.17999999999995</v>
      </c>
      <c r="Y99" s="7">
        <v>0</v>
      </c>
      <c r="Z99" s="7">
        <v>230.14</v>
      </c>
    </row>
    <row r="100" spans="1:26" x14ac:dyDescent="0.35">
      <c r="A100" s="7" t="s">
        <v>27</v>
      </c>
      <c r="B100" s="7" t="s">
        <v>28</v>
      </c>
      <c r="C100" s="7" t="s">
        <v>47</v>
      </c>
      <c r="D100" s="7" t="s">
        <v>56</v>
      </c>
      <c r="E100" s="7" t="s">
        <v>29</v>
      </c>
      <c r="F100" s="7" t="s">
        <v>204</v>
      </c>
      <c r="G100" s="7">
        <v>2021</v>
      </c>
      <c r="H100" s="7" t="str">
        <f>CONCATENATE("14211327839")</f>
        <v>14211327839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CONCATENATE("12 12.1 4a")</f>
        <v>12 12.1 4a</v>
      </c>
      <c r="M100" s="7" t="str">
        <f>CONCATENATE("RCTMRA51R07L191Z")</f>
        <v>RCTMRA51R07L191Z</v>
      </c>
      <c r="N100" s="7" t="s">
        <v>206</v>
      </c>
      <c r="O100" s="7" t="s">
        <v>189</v>
      </c>
      <c r="P100" s="8">
        <v>44536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7">
        <v>795.34</v>
      </c>
      <c r="W100" s="7">
        <v>342.95</v>
      </c>
      <c r="X100" s="7">
        <v>316.7</v>
      </c>
      <c r="Y100" s="7">
        <v>0</v>
      </c>
      <c r="Z100" s="7">
        <v>135.69</v>
      </c>
    </row>
    <row r="101" spans="1:26" x14ac:dyDescent="0.35">
      <c r="A101" s="7" t="s">
        <v>27</v>
      </c>
      <c r="B101" s="7" t="s">
        <v>28</v>
      </c>
      <c r="C101" s="7" t="s">
        <v>47</v>
      </c>
      <c r="D101" s="7" t="s">
        <v>56</v>
      </c>
      <c r="E101" s="7" t="s">
        <v>36</v>
      </c>
      <c r="F101" s="7" t="s">
        <v>207</v>
      </c>
      <c r="G101" s="7">
        <v>2021</v>
      </c>
      <c r="H101" s="7" t="str">
        <f>CONCATENATE("14210174869")</f>
        <v>14210174869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CONCATENATE("12 12.1 4a")</f>
        <v>12 12.1 4a</v>
      </c>
      <c r="M101" s="7" t="str">
        <f>CONCATENATE("01652720432")</f>
        <v>01652720432</v>
      </c>
      <c r="N101" s="7" t="s">
        <v>208</v>
      </c>
      <c r="O101" s="7" t="s">
        <v>189</v>
      </c>
      <c r="P101" s="8">
        <v>44536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5476.09</v>
      </c>
      <c r="W101" s="9">
        <v>2361.29</v>
      </c>
      <c r="X101" s="9">
        <v>2180.58</v>
      </c>
      <c r="Y101" s="7">
        <v>0</v>
      </c>
      <c r="Z101" s="7">
        <v>934.22</v>
      </c>
    </row>
    <row r="102" spans="1:26" x14ac:dyDescent="0.35">
      <c r="A102" s="7" t="s">
        <v>27</v>
      </c>
      <c r="B102" s="7" t="s">
        <v>28</v>
      </c>
      <c r="C102" s="7" t="s">
        <v>47</v>
      </c>
      <c r="D102" s="7" t="s">
        <v>52</v>
      </c>
      <c r="E102" s="7" t="s">
        <v>36</v>
      </c>
      <c r="F102" s="7" t="s">
        <v>209</v>
      </c>
      <c r="G102" s="7">
        <v>2021</v>
      </c>
      <c r="H102" s="7" t="str">
        <f>CONCATENATE("14210108867")</f>
        <v>14210108867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CONCATENATE("12 12.1 4a")</f>
        <v>12 12.1 4a</v>
      </c>
      <c r="M102" s="7" t="str">
        <f>CONCATENATE("PCCSVN64E24E388Y")</f>
        <v>PCCSVN64E24E388Y</v>
      </c>
      <c r="N102" s="7" t="s">
        <v>210</v>
      </c>
      <c r="O102" s="7" t="s">
        <v>189</v>
      </c>
      <c r="P102" s="8">
        <v>44536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7">
        <v>502.93</v>
      </c>
      <c r="W102" s="7">
        <v>216.86</v>
      </c>
      <c r="X102" s="7">
        <v>200.27</v>
      </c>
      <c r="Y102" s="7">
        <v>0</v>
      </c>
      <c r="Z102" s="7">
        <v>85.8</v>
      </c>
    </row>
    <row r="103" spans="1:26" x14ac:dyDescent="0.35">
      <c r="A103" s="7" t="s">
        <v>27</v>
      </c>
      <c r="B103" s="7" t="s">
        <v>28</v>
      </c>
      <c r="C103" s="7" t="s">
        <v>47</v>
      </c>
      <c r="D103" s="7" t="s">
        <v>52</v>
      </c>
      <c r="E103" s="7" t="s">
        <v>36</v>
      </c>
      <c r="F103" s="7" t="s">
        <v>209</v>
      </c>
      <c r="G103" s="7">
        <v>2021</v>
      </c>
      <c r="H103" s="7" t="str">
        <f>CONCATENATE("14210971314")</f>
        <v>14210971314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CONCATENATE("12 12.1 4a")</f>
        <v>12 12.1 4a</v>
      </c>
      <c r="M103" s="7" t="str">
        <f>CONCATENATE("FTTPLA53A70A271Y")</f>
        <v>FTTPLA53A70A271Y</v>
      </c>
      <c r="N103" s="7" t="s">
        <v>211</v>
      </c>
      <c r="O103" s="7" t="s">
        <v>189</v>
      </c>
      <c r="P103" s="8">
        <v>44536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7">
        <v>98.4</v>
      </c>
      <c r="W103" s="7">
        <v>42.43</v>
      </c>
      <c r="X103" s="7">
        <v>39.18</v>
      </c>
      <c r="Y103" s="7">
        <v>0</v>
      </c>
      <c r="Z103" s="7">
        <v>16.79</v>
      </c>
    </row>
    <row r="104" spans="1:26" x14ac:dyDescent="0.35">
      <c r="A104" s="7" t="s">
        <v>27</v>
      </c>
      <c r="B104" s="7" t="s">
        <v>28</v>
      </c>
      <c r="C104" s="7" t="s">
        <v>47</v>
      </c>
      <c r="D104" s="7" t="s">
        <v>52</v>
      </c>
      <c r="E104" s="7" t="s">
        <v>29</v>
      </c>
      <c r="F104" s="7" t="s">
        <v>212</v>
      </c>
      <c r="G104" s="7">
        <v>2021</v>
      </c>
      <c r="H104" s="7" t="str">
        <f>CONCATENATE("14210886207")</f>
        <v>14210886207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CONCATENATE("12 12.1 4a")</f>
        <v>12 12.1 4a</v>
      </c>
      <c r="M104" s="7" t="str">
        <f>CONCATENATE("02510910421")</f>
        <v>02510910421</v>
      </c>
      <c r="N104" s="7" t="s">
        <v>213</v>
      </c>
      <c r="O104" s="7" t="s">
        <v>189</v>
      </c>
      <c r="P104" s="8">
        <v>44536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7">
        <v>567.33000000000004</v>
      </c>
      <c r="W104" s="7">
        <v>244.63</v>
      </c>
      <c r="X104" s="7">
        <v>225.91</v>
      </c>
      <c r="Y104" s="7">
        <v>0</v>
      </c>
      <c r="Z104" s="7">
        <v>96.79</v>
      </c>
    </row>
    <row r="105" spans="1:26" ht="17.5" x14ac:dyDescent="0.35">
      <c r="A105" s="7" t="s">
        <v>27</v>
      </c>
      <c r="B105" s="7" t="s">
        <v>44</v>
      </c>
      <c r="C105" s="7" t="s">
        <v>47</v>
      </c>
      <c r="D105" s="7" t="s">
        <v>52</v>
      </c>
      <c r="E105" s="7" t="s">
        <v>43</v>
      </c>
      <c r="F105" s="7" t="s">
        <v>43</v>
      </c>
      <c r="G105" s="7">
        <v>2017</v>
      </c>
      <c r="H105" s="7" t="str">
        <f>CONCATENATE("14270338743")</f>
        <v>14270338743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CONCATENATE("4 4.1 2a")</f>
        <v>4 4.1 2a</v>
      </c>
      <c r="M105" s="7" t="str">
        <f>CONCATENATE("02708000423")</f>
        <v>02708000423</v>
      </c>
      <c r="N105" s="7" t="s">
        <v>198</v>
      </c>
      <c r="O105" s="7" t="s">
        <v>214</v>
      </c>
      <c r="P105" s="8">
        <v>44539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29262.39</v>
      </c>
      <c r="W105" s="9">
        <v>12617.94</v>
      </c>
      <c r="X105" s="9">
        <v>11652.28</v>
      </c>
      <c r="Y105" s="7">
        <v>0</v>
      </c>
      <c r="Z105" s="9">
        <v>4992.17</v>
      </c>
    </row>
    <row r="106" spans="1:26" x14ac:dyDescent="0.35">
      <c r="A106" s="7" t="s">
        <v>27</v>
      </c>
      <c r="B106" s="7" t="s">
        <v>44</v>
      </c>
      <c r="C106" s="7" t="s">
        <v>47</v>
      </c>
      <c r="D106" s="7" t="s">
        <v>63</v>
      </c>
      <c r="E106" s="7" t="s">
        <v>43</v>
      </c>
      <c r="F106" s="7" t="s">
        <v>43</v>
      </c>
      <c r="G106" s="7">
        <v>2017</v>
      </c>
      <c r="H106" s="7" t="str">
        <f>CONCATENATE("14270341028")</f>
        <v>14270341028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CONCATENATE("6 6.1 2b")</f>
        <v>6 6.1 2b</v>
      </c>
      <c r="M106" s="7" t="str">
        <f>CONCATENATE("BRGGNE97H02D488V")</f>
        <v>BRGGNE97H02D488V</v>
      </c>
      <c r="N106" s="7" t="s">
        <v>64</v>
      </c>
      <c r="O106" s="7" t="s">
        <v>215</v>
      </c>
      <c r="P106" s="8">
        <v>44539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10500</v>
      </c>
      <c r="W106" s="9">
        <v>4527.6000000000004</v>
      </c>
      <c r="X106" s="9">
        <v>4181.1000000000004</v>
      </c>
      <c r="Y106" s="7">
        <v>0</v>
      </c>
      <c r="Z106" s="9">
        <v>1791.3</v>
      </c>
    </row>
    <row r="107" spans="1:26" x14ac:dyDescent="0.35">
      <c r="A107" s="7" t="s">
        <v>27</v>
      </c>
      <c r="B107" s="7" t="s">
        <v>28</v>
      </c>
      <c r="C107" s="7" t="s">
        <v>47</v>
      </c>
      <c r="D107" s="7" t="s">
        <v>63</v>
      </c>
      <c r="E107" s="7" t="s">
        <v>43</v>
      </c>
      <c r="F107" s="7" t="s">
        <v>43</v>
      </c>
      <c r="G107" s="7">
        <v>2021</v>
      </c>
      <c r="H107" s="7" t="str">
        <f>CONCATENATE("14241081976")</f>
        <v>14241081976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CONCATENATE("11 11.2 4b")</f>
        <v>11 11.2 4b</v>
      </c>
      <c r="M107" s="7" t="str">
        <f>CONCATENATE("TBCNNL64B58G224Z")</f>
        <v>TBCNNL64B58G224Z</v>
      </c>
      <c r="N107" s="7" t="s">
        <v>216</v>
      </c>
      <c r="O107" s="7" t="s">
        <v>217</v>
      </c>
      <c r="P107" s="8">
        <v>44532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51289.66</v>
      </c>
      <c r="W107" s="9">
        <v>22116.1</v>
      </c>
      <c r="X107" s="9">
        <v>20423.54</v>
      </c>
      <c r="Y107" s="7">
        <v>0</v>
      </c>
      <c r="Z107" s="9">
        <v>8750.02</v>
      </c>
    </row>
    <row r="108" spans="1:26" x14ac:dyDescent="0.35">
      <c r="A108" s="7" t="s">
        <v>27</v>
      </c>
      <c r="B108" s="7" t="s">
        <v>28</v>
      </c>
      <c r="C108" s="7" t="s">
        <v>47</v>
      </c>
      <c r="D108" s="7" t="s">
        <v>63</v>
      </c>
      <c r="E108" s="7" t="s">
        <v>38</v>
      </c>
      <c r="F108" s="7" t="s">
        <v>161</v>
      </c>
      <c r="G108" s="7">
        <v>2021</v>
      </c>
      <c r="H108" s="7" t="str">
        <f>CONCATENATE("14241330829")</f>
        <v>14241330829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CONCATENATE("11 11.2 4b")</f>
        <v>11 11.2 4b</v>
      </c>
      <c r="M108" s="7" t="str">
        <f>CONCATENATE("BRSNDA48A47Z103Q")</f>
        <v>BRSNDA48A47Z103Q</v>
      </c>
      <c r="N108" s="7" t="s">
        <v>162</v>
      </c>
      <c r="O108" s="7" t="s">
        <v>217</v>
      </c>
      <c r="P108" s="8">
        <v>44532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7306.33</v>
      </c>
      <c r="W108" s="9">
        <v>3150.49</v>
      </c>
      <c r="X108" s="9">
        <v>2909.38</v>
      </c>
      <c r="Y108" s="7">
        <v>0</v>
      </c>
      <c r="Z108" s="9">
        <v>1246.46</v>
      </c>
    </row>
    <row r="109" spans="1:26" x14ac:dyDescent="0.35">
      <c r="A109" s="7" t="s">
        <v>27</v>
      </c>
      <c r="B109" s="7" t="s">
        <v>28</v>
      </c>
      <c r="C109" s="7" t="s">
        <v>47</v>
      </c>
      <c r="D109" s="7" t="s">
        <v>63</v>
      </c>
      <c r="E109" s="7" t="s">
        <v>38</v>
      </c>
      <c r="F109" s="7" t="s">
        <v>161</v>
      </c>
      <c r="G109" s="7">
        <v>2021</v>
      </c>
      <c r="H109" s="7" t="str">
        <f>CONCATENATE("14241330431")</f>
        <v>14241330431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CONCATENATE("11 11.2 4b")</f>
        <v>11 11.2 4b</v>
      </c>
      <c r="M109" s="7" t="str">
        <f>CONCATENATE("BRSNDA48A47Z103Q")</f>
        <v>BRSNDA48A47Z103Q</v>
      </c>
      <c r="N109" s="7" t="s">
        <v>162</v>
      </c>
      <c r="O109" s="7" t="s">
        <v>217</v>
      </c>
      <c r="P109" s="8">
        <v>44532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1505.05</v>
      </c>
      <c r="W109" s="7">
        <v>648.98</v>
      </c>
      <c r="X109" s="7">
        <v>599.30999999999995</v>
      </c>
      <c r="Y109" s="7">
        <v>0</v>
      </c>
      <c r="Z109" s="7">
        <v>256.76</v>
      </c>
    </row>
    <row r="110" spans="1:26" x14ac:dyDescent="0.35">
      <c r="A110" s="7" t="s">
        <v>27</v>
      </c>
      <c r="B110" s="7" t="s">
        <v>28</v>
      </c>
      <c r="C110" s="7" t="s">
        <v>47</v>
      </c>
      <c r="D110" s="7" t="s">
        <v>63</v>
      </c>
      <c r="E110" s="7" t="s">
        <v>37</v>
      </c>
      <c r="F110" s="7" t="s">
        <v>113</v>
      </c>
      <c r="G110" s="7">
        <v>2021</v>
      </c>
      <c r="H110" s="7" t="str">
        <f>CONCATENATE("14241385245")</f>
        <v>14241385245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CONCATENATE("11 11.2 4b")</f>
        <v>11 11.2 4b</v>
      </c>
      <c r="M110" s="7" t="str">
        <f>CONCATENATE("BRSMNN82R51C357J")</f>
        <v>BRSMNN82R51C357J</v>
      </c>
      <c r="N110" s="7" t="s">
        <v>114</v>
      </c>
      <c r="O110" s="7" t="s">
        <v>217</v>
      </c>
      <c r="P110" s="8">
        <v>44532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48078.39</v>
      </c>
      <c r="W110" s="9">
        <v>20731.400000000001</v>
      </c>
      <c r="X110" s="9">
        <v>19144.810000000001</v>
      </c>
      <c r="Y110" s="7">
        <v>0</v>
      </c>
      <c r="Z110" s="9">
        <v>8202.18</v>
      </c>
    </row>
    <row r="111" spans="1:26" x14ac:dyDescent="0.35">
      <c r="A111" s="7" t="s">
        <v>27</v>
      </c>
      <c r="B111" s="7" t="s">
        <v>28</v>
      </c>
      <c r="C111" s="7" t="s">
        <v>47</v>
      </c>
      <c r="D111" s="7" t="s">
        <v>63</v>
      </c>
      <c r="E111" s="7" t="s">
        <v>36</v>
      </c>
      <c r="F111" s="7" t="s">
        <v>130</v>
      </c>
      <c r="G111" s="7">
        <v>2021</v>
      </c>
      <c r="H111" s="7" t="str">
        <f>CONCATENATE("14240489451")</f>
        <v>14240489451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CONCATENATE("11 11.2 4b")</f>
        <v>11 11.2 4b</v>
      </c>
      <c r="M111" s="7" t="str">
        <f>CONCATENATE("02508110414")</f>
        <v>02508110414</v>
      </c>
      <c r="N111" s="7" t="s">
        <v>177</v>
      </c>
      <c r="O111" s="7" t="s">
        <v>217</v>
      </c>
      <c r="P111" s="8">
        <v>44532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12624.28</v>
      </c>
      <c r="W111" s="9">
        <v>5443.59</v>
      </c>
      <c r="X111" s="9">
        <v>5026.99</v>
      </c>
      <c r="Y111" s="7">
        <v>0</v>
      </c>
      <c r="Z111" s="9">
        <v>2153.6999999999998</v>
      </c>
    </row>
    <row r="112" spans="1:26" x14ac:dyDescent="0.35">
      <c r="A112" s="7" t="s">
        <v>27</v>
      </c>
      <c r="B112" s="7" t="s">
        <v>28</v>
      </c>
      <c r="C112" s="7" t="s">
        <v>47</v>
      </c>
      <c r="D112" s="7" t="s">
        <v>76</v>
      </c>
      <c r="E112" s="7" t="s">
        <v>43</v>
      </c>
      <c r="F112" s="7" t="s">
        <v>43</v>
      </c>
      <c r="G112" s="7">
        <v>2021</v>
      </c>
      <c r="H112" s="7" t="str">
        <f>CONCATENATE("14240102583")</f>
        <v>14240102583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CONCATENATE("11 11.2 4b")</f>
        <v>11 11.2 4b</v>
      </c>
      <c r="M112" s="7" t="str">
        <f>CONCATENATE("CCRSVN59L71A462F")</f>
        <v>CCRSVN59L71A462F</v>
      </c>
      <c r="N112" s="7" t="s">
        <v>218</v>
      </c>
      <c r="O112" s="7" t="s">
        <v>219</v>
      </c>
      <c r="P112" s="8">
        <v>44532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7">
        <v>513.29999999999995</v>
      </c>
      <c r="W112" s="7">
        <v>221.33</v>
      </c>
      <c r="X112" s="7">
        <v>204.4</v>
      </c>
      <c r="Y112" s="7">
        <v>0</v>
      </c>
      <c r="Z112" s="7">
        <v>87.57</v>
      </c>
    </row>
    <row r="113" spans="1:26" x14ac:dyDescent="0.35">
      <c r="A113" s="7" t="s">
        <v>27</v>
      </c>
      <c r="B113" s="7" t="s">
        <v>44</v>
      </c>
      <c r="C113" s="7" t="s">
        <v>47</v>
      </c>
      <c r="D113" s="7" t="s">
        <v>76</v>
      </c>
      <c r="E113" s="7" t="s">
        <v>41</v>
      </c>
      <c r="F113" s="7" t="s">
        <v>109</v>
      </c>
      <c r="G113" s="7">
        <v>2017</v>
      </c>
      <c r="H113" s="7" t="str">
        <f>CONCATENATE("14270336952")</f>
        <v>14270336952</v>
      </c>
      <c r="I113" s="7" t="s">
        <v>40</v>
      </c>
      <c r="J113" s="7" t="s">
        <v>31</v>
      </c>
      <c r="K113" s="7" t="str">
        <f>CONCATENATE("")</f>
        <v/>
      </c>
      <c r="L113" s="7" t="str">
        <f>CONCATENATE("6 6.1 2b")</f>
        <v>6 6.1 2b</v>
      </c>
      <c r="M113" s="7" t="str">
        <f>CONCATENATE("02271970440")</f>
        <v>02271970440</v>
      </c>
      <c r="N113" s="7" t="s">
        <v>110</v>
      </c>
      <c r="O113" s="7" t="s">
        <v>220</v>
      </c>
      <c r="P113" s="8">
        <v>44537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40740</v>
      </c>
      <c r="W113" s="9">
        <v>17567.09</v>
      </c>
      <c r="X113" s="9">
        <v>16222.67</v>
      </c>
      <c r="Y113" s="7">
        <v>0</v>
      </c>
      <c r="Z113" s="9">
        <v>6950.24</v>
      </c>
    </row>
    <row r="114" spans="1:26" x14ac:dyDescent="0.35">
      <c r="A114" s="7" t="s">
        <v>27</v>
      </c>
      <c r="B114" s="7" t="s">
        <v>44</v>
      </c>
      <c r="C114" s="7" t="s">
        <v>47</v>
      </c>
      <c r="D114" s="7" t="s">
        <v>47</v>
      </c>
      <c r="E114" s="7" t="s">
        <v>43</v>
      </c>
      <c r="F114" s="7" t="s">
        <v>43</v>
      </c>
      <c r="G114" s="7">
        <v>2017</v>
      </c>
      <c r="H114" s="7" t="str">
        <f>CONCATENATE("14270339469")</f>
        <v>14270339469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CONCATENATE("19 19.2 6b")</f>
        <v>19 19.2 6b</v>
      </c>
      <c r="M114" s="7" t="str">
        <f>CONCATENATE("00182490433")</f>
        <v>00182490433</v>
      </c>
      <c r="N114" s="7" t="s">
        <v>221</v>
      </c>
      <c r="O114" s="7" t="s">
        <v>222</v>
      </c>
      <c r="P114" s="8">
        <v>44537</v>
      </c>
      <c r="Q114" s="7" t="s">
        <v>32</v>
      </c>
      <c r="R114" s="7" t="s">
        <v>46</v>
      </c>
      <c r="S114" s="7" t="s">
        <v>34</v>
      </c>
      <c r="T114" s="7"/>
      <c r="U114" s="7" t="s">
        <v>35</v>
      </c>
      <c r="V114" s="9">
        <v>17101.310000000001</v>
      </c>
      <c r="W114" s="9">
        <v>7374.08</v>
      </c>
      <c r="X114" s="9">
        <v>6809.74</v>
      </c>
      <c r="Y114" s="7">
        <v>0</v>
      </c>
      <c r="Z114" s="9">
        <v>2917.49</v>
      </c>
    </row>
    <row r="115" spans="1:26" x14ac:dyDescent="0.35">
      <c r="A115" s="7" t="s">
        <v>27</v>
      </c>
      <c r="B115" s="7" t="s">
        <v>28</v>
      </c>
      <c r="C115" s="7" t="s">
        <v>47</v>
      </c>
      <c r="D115" s="7" t="s">
        <v>56</v>
      </c>
      <c r="E115" s="7" t="s">
        <v>29</v>
      </c>
      <c r="F115" s="7" t="s">
        <v>84</v>
      </c>
      <c r="G115" s="7">
        <v>2018</v>
      </c>
      <c r="H115" s="7" t="str">
        <f>CONCATENATE("84240462816")</f>
        <v>84240462816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CONCATENATE("10 10.1 4a")</f>
        <v>10 10.1 4a</v>
      </c>
      <c r="M115" s="7" t="str">
        <f>CONCATENATE("CMPLRI86A52I156H")</f>
        <v>CMPLRI86A52I156H</v>
      </c>
      <c r="N115" s="7" t="s">
        <v>223</v>
      </c>
      <c r="O115" s="7" t="s">
        <v>203</v>
      </c>
      <c r="P115" s="8">
        <v>44537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18975.02</v>
      </c>
      <c r="W115" s="9">
        <v>8182.03</v>
      </c>
      <c r="X115" s="9">
        <v>7555.85</v>
      </c>
      <c r="Y115" s="7">
        <v>0</v>
      </c>
      <c r="Z115" s="9">
        <v>3237.14</v>
      </c>
    </row>
    <row r="116" spans="1:26" x14ac:dyDescent="0.35">
      <c r="A116" s="7" t="s">
        <v>27</v>
      </c>
      <c r="B116" s="7" t="s">
        <v>28</v>
      </c>
      <c r="C116" s="7" t="s">
        <v>47</v>
      </c>
      <c r="D116" s="7" t="s">
        <v>56</v>
      </c>
      <c r="E116" s="7" t="s">
        <v>38</v>
      </c>
      <c r="F116" s="7" t="s">
        <v>224</v>
      </c>
      <c r="G116" s="7">
        <v>2021</v>
      </c>
      <c r="H116" s="7" t="str">
        <f>CONCATENATE("14210803111")</f>
        <v>14210803111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CONCATENATE("12 12.1 4a")</f>
        <v>12 12.1 4a</v>
      </c>
      <c r="M116" s="7" t="str">
        <f>CONCATENATE("00307260430")</f>
        <v>00307260430</v>
      </c>
      <c r="N116" s="7" t="s">
        <v>225</v>
      </c>
      <c r="O116" s="7" t="s">
        <v>189</v>
      </c>
      <c r="P116" s="8">
        <v>44536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7">
        <v>405.59</v>
      </c>
      <c r="W116" s="7">
        <v>174.89</v>
      </c>
      <c r="X116" s="7">
        <v>161.51</v>
      </c>
      <c r="Y116" s="7">
        <v>0</v>
      </c>
      <c r="Z116" s="7">
        <v>69.19</v>
      </c>
    </row>
    <row r="117" spans="1:26" ht="17.5" x14ac:dyDescent="0.35">
      <c r="A117" s="7" t="s">
        <v>27</v>
      </c>
      <c r="B117" s="7" t="s">
        <v>28</v>
      </c>
      <c r="C117" s="7" t="s">
        <v>47</v>
      </c>
      <c r="D117" s="7" t="s">
        <v>56</v>
      </c>
      <c r="E117" s="7" t="s">
        <v>29</v>
      </c>
      <c r="F117" s="7" t="s">
        <v>204</v>
      </c>
      <c r="G117" s="7">
        <v>2021</v>
      </c>
      <c r="H117" s="7" t="str">
        <f>CONCATENATE("14210820289")</f>
        <v>14210820289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CONCATENATE("12 12.1 4a")</f>
        <v>12 12.1 4a</v>
      </c>
      <c r="M117" s="7" t="str">
        <f>CONCATENATE("RMDMRA66M03L501N")</f>
        <v>RMDMRA66M03L501N</v>
      </c>
      <c r="N117" s="7" t="s">
        <v>226</v>
      </c>
      <c r="O117" s="7" t="s">
        <v>189</v>
      </c>
      <c r="P117" s="8">
        <v>44536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2680.72</v>
      </c>
      <c r="W117" s="9">
        <v>1155.93</v>
      </c>
      <c r="X117" s="9">
        <v>1067.46</v>
      </c>
      <c r="Y117" s="7">
        <v>0</v>
      </c>
      <c r="Z117" s="7">
        <v>457.33</v>
      </c>
    </row>
    <row r="118" spans="1:26" x14ac:dyDescent="0.35">
      <c r="A118" s="7" t="s">
        <v>27</v>
      </c>
      <c r="B118" s="7" t="s">
        <v>28</v>
      </c>
      <c r="C118" s="7" t="s">
        <v>47</v>
      </c>
      <c r="D118" s="7" t="s">
        <v>52</v>
      </c>
      <c r="E118" s="7" t="s">
        <v>29</v>
      </c>
      <c r="F118" s="7" t="s">
        <v>212</v>
      </c>
      <c r="G118" s="7">
        <v>2021</v>
      </c>
      <c r="H118" s="7" t="str">
        <f>CONCATENATE("14210852407")</f>
        <v>14210852407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CONCATENATE("12 12.1 4a")</f>
        <v>12 12.1 4a</v>
      </c>
      <c r="M118" s="7" t="str">
        <f>CONCATENATE("00758850424")</f>
        <v>00758850424</v>
      </c>
      <c r="N118" s="7" t="s">
        <v>227</v>
      </c>
      <c r="O118" s="7" t="s">
        <v>189</v>
      </c>
      <c r="P118" s="8">
        <v>44536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1306.33</v>
      </c>
      <c r="W118" s="7">
        <v>563.29</v>
      </c>
      <c r="X118" s="7">
        <v>520.17999999999995</v>
      </c>
      <c r="Y118" s="7">
        <v>0</v>
      </c>
      <c r="Z118" s="7">
        <v>222.86</v>
      </c>
    </row>
    <row r="119" spans="1:26" x14ac:dyDescent="0.35">
      <c r="A119" s="7" t="s">
        <v>27</v>
      </c>
      <c r="B119" s="7" t="s">
        <v>28</v>
      </c>
      <c r="C119" s="7" t="s">
        <v>47</v>
      </c>
      <c r="D119" s="7" t="s">
        <v>56</v>
      </c>
      <c r="E119" s="7" t="s">
        <v>42</v>
      </c>
      <c r="F119" s="7" t="s">
        <v>159</v>
      </c>
      <c r="G119" s="7">
        <v>2021</v>
      </c>
      <c r="H119" s="7" t="str">
        <f>CONCATENATE("14240799180")</f>
        <v>14240799180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CONCATENATE("11 11.2 4b")</f>
        <v>11 11.2 4b</v>
      </c>
      <c r="M119" s="7" t="str">
        <f>CONCATENATE("BNRNMN85T01E388L")</f>
        <v>BNRNMN85T01E388L</v>
      </c>
      <c r="N119" s="7" t="s">
        <v>228</v>
      </c>
      <c r="O119" s="7" t="s">
        <v>229</v>
      </c>
      <c r="P119" s="8">
        <v>44537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2860.55</v>
      </c>
      <c r="W119" s="9">
        <v>1233.47</v>
      </c>
      <c r="X119" s="9">
        <v>1139.07</v>
      </c>
      <c r="Y119" s="7">
        <v>0</v>
      </c>
      <c r="Z119" s="7">
        <v>488.01</v>
      </c>
    </row>
    <row r="120" spans="1:26" x14ac:dyDescent="0.35">
      <c r="A120" s="7" t="s">
        <v>27</v>
      </c>
      <c r="B120" s="7" t="s">
        <v>44</v>
      </c>
      <c r="C120" s="7" t="s">
        <v>47</v>
      </c>
      <c r="D120" s="7" t="s">
        <v>76</v>
      </c>
      <c r="E120" s="7" t="s">
        <v>43</v>
      </c>
      <c r="F120" s="7" t="s">
        <v>43</v>
      </c>
      <c r="G120" s="7">
        <v>2017</v>
      </c>
      <c r="H120" s="7" t="str">
        <f>CONCATENATE("14270334239")</f>
        <v>14270334239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CONCATENATE("7 7.5 6a")</f>
        <v>7 7.5 6a</v>
      </c>
      <c r="M120" s="7" t="str">
        <f>CONCATENATE("92049990416")</f>
        <v>92049990416</v>
      </c>
      <c r="N120" s="7" t="s">
        <v>230</v>
      </c>
      <c r="O120" s="7" t="s">
        <v>231</v>
      </c>
      <c r="P120" s="8">
        <v>44533</v>
      </c>
      <c r="Q120" s="7" t="s">
        <v>32</v>
      </c>
      <c r="R120" s="7" t="s">
        <v>46</v>
      </c>
      <c r="S120" s="7" t="s">
        <v>34</v>
      </c>
      <c r="T120" s="7"/>
      <c r="U120" s="7" t="s">
        <v>35</v>
      </c>
      <c r="V120" s="9">
        <v>86565.22</v>
      </c>
      <c r="W120" s="9">
        <v>37326.92</v>
      </c>
      <c r="X120" s="9">
        <v>34470.269999999997</v>
      </c>
      <c r="Y120" s="7">
        <v>0</v>
      </c>
      <c r="Z120" s="9">
        <v>14768.03</v>
      </c>
    </row>
    <row r="121" spans="1:26" x14ac:dyDescent="0.35">
      <c r="A121" s="7" t="s">
        <v>27</v>
      </c>
      <c r="B121" s="7" t="s">
        <v>44</v>
      </c>
      <c r="C121" s="7" t="s">
        <v>47</v>
      </c>
      <c r="D121" s="7" t="s">
        <v>76</v>
      </c>
      <c r="E121" s="7" t="s">
        <v>43</v>
      </c>
      <c r="F121" s="7" t="s">
        <v>43</v>
      </c>
      <c r="G121" s="7">
        <v>2017</v>
      </c>
      <c r="H121" s="7" t="str">
        <f>CONCATENATE("14270334221")</f>
        <v>14270334221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CONCATENATE("7 7.5 6a")</f>
        <v>7 7.5 6a</v>
      </c>
      <c r="M121" s="7" t="str">
        <f>CONCATENATE("92049990416")</f>
        <v>92049990416</v>
      </c>
      <c r="N121" s="7" t="s">
        <v>230</v>
      </c>
      <c r="O121" s="7" t="s">
        <v>231</v>
      </c>
      <c r="P121" s="8">
        <v>44533</v>
      </c>
      <c r="Q121" s="7" t="s">
        <v>32</v>
      </c>
      <c r="R121" s="7" t="s">
        <v>46</v>
      </c>
      <c r="S121" s="7" t="s">
        <v>34</v>
      </c>
      <c r="T121" s="7"/>
      <c r="U121" s="7" t="s">
        <v>35</v>
      </c>
      <c r="V121" s="9">
        <v>83670.22</v>
      </c>
      <c r="W121" s="9">
        <v>36078.6</v>
      </c>
      <c r="X121" s="9">
        <v>33317.480000000003</v>
      </c>
      <c r="Y121" s="7">
        <v>0</v>
      </c>
      <c r="Z121" s="9">
        <v>14274.14</v>
      </c>
    </row>
    <row r="122" spans="1:26" x14ac:dyDescent="0.35">
      <c r="A122" s="7" t="s">
        <v>27</v>
      </c>
      <c r="B122" s="7" t="s">
        <v>44</v>
      </c>
      <c r="C122" s="7" t="s">
        <v>47</v>
      </c>
      <c r="D122" s="7" t="s">
        <v>76</v>
      </c>
      <c r="E122" s="7" t="s">
        <v>43</v>
      </c>
      <c r="F122" s="7" t="s">
        <v>43</v>
      </c>
      <c r="G122" s="7">
        <v>2017</v>
      </c>
      <c r="H122" s="7" t="str">
        <f>CONCATENATE("14270334247")</f>
        <v>14270334247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CONCATENATE("7 7.5 6a")</f>
        <v>7 7.5 6a</v>
      </c>
      <c r="M122" s="7" t="str">
        <f>CONCATENATE("92049990416")</f>
        <v>92049990416</v>
      </c>
      <c r="N122" s="7" t="s">
        <v>230</v>
      </c>
      <c r="O122" s="7" t="s">
        <v>231</v>
      </c>
      <c r="P122" s="8">
        <v>44533</v>
      </c>
      <c r="Q122" s="7" t="s">
        <v>32</v>
      </c>
      <c r="R122" s="7" t="s">
        <v>46</v>
      </c>
      <c r="S122" s="7" t="s">
        <v>34</v>
      </c>
      <c r="T122" s="7"/>
      <c r="U122" s="7" t="s">
        <v>35</v>
      </c>
      <c r="V122" s="9">
        <v>22359.87</v>
      </c>
      <c r="W122" s="9">
        <v>9641.58</v>
      </c>
      <c r="X122" s="9">
        <v>8903.7000000000007</v>
      </c>
      <c r="Y122" s="7">
        <v>0</v>
      </c>
      <c r="Z122" s="9">
        <v>3814.59</v>
      </c>
    </row>
    <row r="123" spans="1:26" x14ac:dyDescent="0.35">
      <c r="A123" s="7" t="s">
        <v>27</v>
      </c>
      <c r="B123" s="7" t="s">
        <v>44</v>
      </c>
      <c r="C123" s="7" t="s">
        <v>47</v>
      </c>
      <c r="D123" s="7" t="s">
        <v>76</v>
      </c>
      <c r="E123" s="7" t="s">
        <v>43</v>
      </c>
      <c r="F123" s="7" t="s">
        <v>43</v>
      </c>
      <c r="G123" s="7">
        <v>2017</v>
      </c>
      <c r="H123" s="7" t="str">
        <f>CONCATENATE("14270334262")</f>
        <v>14270334262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CONCATENATE("7 7.5 6a")</f>
        <v>7 7.5 6a</v>
      </c>
      <c r="M123" s="7" t="str">
        <f>CONCATENATE("92049990416")</f>
        <v>92049990416</v>
      </c>
      <c r="N123" s="7" t="s">
        <v>230</v>
      </c>
      <c r="O123" s="7" t="s">
        <v>231</v>
      </c>
      <c r="P123" s="8">
        <v>44533</v>
      </c>
      <c r="Q123" s="7" t="s">
        <v>32</v>
      </c>
      <c r="R123" s="7" t="s">
        <v>46</v>
      </c>
      <c r="S123" s="7" t="s">
        <v>34</v>
      </c>
      <c r="T123" s="7"/>
      <c r="U123" s="7" t="s">
        <v>35</v>
      </c>
      <c r="V123" s="9">
        <v>35660.449999999997</v>
      </c>
      <c r="W123" s="9">
        <v>15376.79</v>
      </c>
      <c r="X123" s="9">
        <v>14199.99</v>
      </c>
      <c r="Y123" s="7">
        <v>0</v>
      </c>
      <c r="Z123" s="9">
        <v>6083.67</v>
      </c>
    </row>
    <row r="124" spans="1:26" x14ac:dyDescent="0.35">
      <c r="A124" s="7" t="s">
        <v>27</v>
      </c>
      <c r="B124" s="7" t="s">
        <v>44</v>
      </c>
      <c r="C124" s="7" t="s">
        <v>47</v>
      </c>
      <c r="D124" s="7" t="s">
        <v>76</v>
      </c>
      <c r="E124" s="7" t="s">
        <v>43</v>
      </c>
      <c r="F124" s="7" t="s">
        <v>43</v>
      </c>
      <c r="G124" s="7">
        <v>2017</v>
      </c>
      <c r="H124" s="7" t="str">
        <f>CONCATENATE("14270334254")</f>
        <v>14270334254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CONCATENATE("7 7.5 6a")</f>
        <v>7 7.5 6a</v>
      </c>
      <c r="M124" s="7" t="str">
        <f>CONCATENATE("92049990416")</f>
        <v>92049990416</v>
      </c>
      <c r="N124" s="7" t="s">
        <v>230</v>
      </c>
      <c r="O124" s="7" t="s">
        <v>231</v>
      </c>
      <c r="P124" s="8">
        <v>44533</v>
      </c>
      <c r="Q124" s="7" t="s">
        <v>32</v>
      </c>
      <c r="R124" s="7" t="s">
        <v>46</v>
      </c>
      <c r="S124" s="7" t="s">
        <v>34</v>
      </c>
      <c r="T124" s="7"/>
      <c r="U124" s="7" t="s">
        <v>35</v>
      </c>
      <c r="V124" s="9">
        <v>64667.96</v>
      </c>
      <c r="W124" s="9">
        <v>27884.82</v>
      </c>
      <c r="X124" s="9">
        <v>25750.78</v>
      </c>
      <c r="Y124" s="7">
        <v>0</v>
      </c>
      <c r="Z124" s="9">
        <v>11032.36</v>
      </c>
    </row>
    <row r="125" spans="1:26" x14ac:dyDescent="0.35">
      <c r="A125" s="7" t="s">
        <v>27</v>
      </c>
      <c r="B125" s="7" t="s">
        <v>44</v>
      </c>
      <c r="C125" s="7" t="s">
        <v>47</v>
      </c>
      <c r="D125" s="7" t="s">
        <v>52</v>
      </c>
      <c r="E125" s="7" t="s">
        <v>43</v>
      </c>
      <c r="F125" s="7" t="s">
        <v>43</v>
      </c>
      <c r="G125" s="7">
        <v>2017</v>
      </c>
      <c r="H125" s="7" t="str">
        <f>CONCATENATE("14270339501")</f>
        <v>14270339501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CONCATENATE("16 16.1 2a")</f>
        <v>16 16.1 2a</v>
      </c>
      <c r="M125" s="7" t="str">
        <f>CONCATENATE("00078000429")</f>
        <v>00078000429</v>
      </c>
      <c r="N125" s="7" t="s">
        <v>232</v>
      </c>
      <c r="O125" s="7" t="s">
        <v>233</v>
      </c>
      <c r="P125" s="8">
        <v>44537</v>
      </c>
      <c r="Q125" s="7" t="s">
        <v>32</v>
      </c>
      <c r="R125" s="7" t="s">
        <v>45</v>
      </c>
      <c r="S125" s="7" t="s">
        <v>34</v>
      </c>
      <c r="T125" s="7"/>
      <c r="U125" s="7" t="s">
        <v>35</v>
      </c>
      <c r="V125" s="9">
        <v>45405.05</v>
      </c>
      <c r="W125" s="9">
        <v>19578.66</v>
      </c>
      <c r="X125" s="9">
        <v>18080.29</v>
      </c>
      <c r="Y125" s="7">
        <v>0</v>
      </c>
      <c r="Z125" s="9">
        <v>7746.1</v>
      </c>
    </row>
    <row r="126" spans="1:26" x14ac:dyDescent="0.35">
      <c r="A126" s="7" t="s">
        <v>27</v>
      </c>
      <c r="B126" s="7" t="s">
        <v>44</v>
      </c>
      <c r="C126" s="7" t="s">
        <v>47</v>
      </c>
      <c r="D126" s="7" t="s">
        <v>52</v>
      </c>
      <c r="E126" s="7" t="s">
        <v>43</v>
      </c>
      <c r="F126" s="7" t="s">
        <v>43</v>
      </c>
      <c r="G126" s="7">
        <v>2017</v>
      </c>
      <c r="H126" s="7" t="str">
        <f>CONCATENATE("14270338834")</f>
        <v>14270338834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CONCATENATE("20 20.1 ")</f>
        <v xml:space="preserve">20 20.1 </v>
      </c>
      <c r="M126" s="7" t="str">
        <f>CONCATENATE("80008630420")</f>
        <v>80008630420</v>
      </c>
      <c r="N126" s="7" t="s">
        <v>234</v>
      </c>
      <c r="O126" s="7" t="s">
        <v>235</v>
      </c>
      <c r="P126" s="8">
        <v>44537</v>
      </c>
      <c r="Q126" s="7" t="s">
        <v>32</v>
      </c>
      <c r="R126" s="7" t="s">
        <v>45</v>
      </c>
      <c r="S126" s="7" t="s">
        <v>34</v>
      </c>
      <c r="T126" s="7"/>
      <c r="U126" s="7" t="s">
        <v>35</v>
      </c>
      <c r="V126" s="9">
        <v>291031</v>
      </c>
      <c r="W126" s="9">
        <v>125492.57</v>
      </c>
      <c r="X126" s="9">
        <v>115888.54</v>
      </c>
      <c r="Y126" s="7">
        <v>0</v>
      </c>
      <c r="Z126" s="9">
        <v>49649.89</v>
      </c>
    </row>
    <row r="127" spans="1:26" x14ac:dyDescent="0.35">
      <c r="A127" s="7" t="s">
        <v>27</v>
      </c>
      <c r="B127" s="7" t="s">
        <v>44</v>
      </c>
      <c r="C127" s="7" t="s">
        <v>47</v>
      </c>
      <c r="D127" s="7"/>
      <c r="E127" s="7"/>
      <c r="F127" s="7"/>
      <c r="G127" s="7">
        <v>2017</v>
      </c>
      <c r="H127" s="7" t="str">
        <f>CONCATENATE("14270339378")</f>
        <v>14270339378</v>
      </c>
      <c r="I127" s="7" t="s">
        <v>40</v>
      </c>
      <c r="J127" s="7" t="s">
        <v>31</v>
      </c>
      <c r="K127" s="7" t="str">
        <f>CONCATENATE("")</f>
        <v/>
      </c>
      <c r="L127" s="7" t="str">
        <f>CONCATENATE("20 20.1 ")</f>
        <v xml:space="preserve">20 20.1 </v>
      </c>
      <c r="M127" s="7" t="str">
        <f>CONCATENATE("01491360424")</f>
        <v>01491360424</v>
      </c>
      <c r="N127" s="7" t="s">
        <v>236</v>
      </c>
      <c r="O127" s="7" t="s">
        <v>235</v>
      </c>
      <c r="P127" s="8">
        <v>44537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181964.81</v>
      </c>
      <c r="W127" s="9">
        <v>78463.23</v>
      </c>
      <c r="X127" s="9">
        <v>72458.39</v>
      </c>
      <c r="Y127" s="7">
        <v>0</v>
      </c>
      <c r="Z127" s="9">
        <v>31043.19</v>
      </c>
    </row>
    <row r="128" spans="1:26" ht="17.5" x14ac:dyDescent="0.35">
      <c r="A128" s="7" t="s">
        <v>27</v>
      </c>
      <c r="B128" s="7" t="s">
        <v>28</v>
      </c>
      <c r="C128" s="7" t="s">
        <v>47</v>
      </c>
      <c r="D128" s="7" t="s">
        <v>63</v>
      </c>
      <c r="E128" s="7" t="s">
        <v>29</v>
      </c>
      <c r="F128" s="7" t="s">
        <v>122</v>
      </c>
      <c r="G128" s="7">
        <v>2021</v>
      </c>
      <c r="H128" s="7" t="str">
        <f>CONCATENATE("14240424730")</f>
        <v>14240424730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CONCATENATE("11 11.2 4b")</f>
        <v>11 11.2 4b</v>
      </c>
      <c r="M128" s="7" t="str">
        <f>CONCATENATE("01385210412")</f>
        <v>01385210412</v>
      </c>
      <c r="N128" s="7" t="s">
        <v>237</v>
      </c>
      <c r="O128" s="7" t="s">
        <v>217</v>
      </c>
      <c r="P128" s="8">
        <v>44532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26895.78</v>
      </c>
      <c r="W128" s="9">
        <v>11597.46</v>
      </c>
      <c r="X128" s="9">
        <v>10709.9</v>
      </c>
      <c r="Y128" s="7">
        <v>0</v>
      </c>
      <c r="Z128" s="9">
        <v>4588.42</v>
      </c>
    </row>
    <row r="129" spans="1:26" ht="17.5" x14ac:dyDescent="0.35">
      <c r="A129" s="7" t="s">
        <v>27</v>
      </c>
      <c r="B129" s="7" t="s">
        <v>28</v>
      </c>
      <c r="C129" s="7" t="s">
        <v>47</v>
      </c>
      <c r="D129" s="7" t="s">
        <v>63</v>
      </c>
      <c r="E129" s="7" t="s">
        <v>29</v>
      </c>
      <c r="F129" s="7" t="s">
        <v>122</v>
      </c>
      <c r="G129" s="7">
        <v>2021</v>
      </c>
      <c r="H129" s="7" t="str">
        <f>CONCATENATE("14240423302")</f>
        <v>14240423302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CONCATENATE("11 11.2 4b")</f>
        <v>11 11.2 4b</v>
      </c>
      <c r="M129" s="7" t="str">
        <f>CONCATENATE("01385210412")</f>
        <v>01385210412</v>
      </c>
      <c r="N129" s="7" t="s">
        <v>237</v>
      </c>
      <c r="O129" s="7" t="s">
        <v>217</v>
      </c>
      <c r="P129" s="8">
        <v>44532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1833.19</v>
      </c>
      <c r="W129" s="7">
        <v>790.47</v>
      </c>
      <c r="X129" s="7">
        <v>729.98</v>
      </c>
      <c r="Y129" s="7">
        <v>0</v>
      </c>
      <c r="Z129" s="7">
        <v>312.74</v>
      </c>
    </row>
    <row r="130" spans="1:26" x14ac:dyDescent="0.35">
      <c r="A130" s="7" t="s">
        <v>27</v>
      </c>
      <c r="B130" s="7" t="s">
        <v>44</v>
      </c>
      <c r="C130" s="7" t="s">
        <v>47</v>
      </c>
      <c r="D130" s="7" t="s">
        <v>47</v>
      </c>
      <c r="E130" s="7" t="s">
        <v>43</v>
      </c>
      <c r="F130" s="7" t="s">
        <v>43</v>
      </c>
      <c r="G130" s="7">
        <v>2017</v>
      </c>
      <c r="H130" s="7" t="str">
        <f>CONCATENATE("14270339352")</f>
        <v>14270339352</v>
      </c>
      <c r="I130" s="7" t="s">
        <v>30</v>
      </c>
      <c r="J130" s="7" t="s">
        <v>31</v>
      </c>
      <c r="K130" s="7" t="str">
        <f>CONCATENATE("")</f>
        <v/>
      </c>
      <c r="L130" s="7" t="str">
        <f>CONCATENATE("19 19.2 6b")</f>
        <v>19 19.2 6b</v>
      </c>
      <c r="M130" s="7" t="str">
        <f>CONCATENATE("00357080449")</f>
        <v>00357080449</v>
      </c>
      <c r="N130" s="7" t="s">
        <v>238</v>
      </c>
      <c r="O130" s="7" t="s">
        <v>239</v>
      </c>
      <c r="P130" s="8">
        <v>44537</v>
      </c>
      <c r="Q130" s="7" t="s">
        <v>32</v>
      </c>
      <c r="R130" s="7" t="s">
        <v>46</v>
      </c>
      <c r="S130" s="7" t="s">
        <v>34</v>
      </c>
      <c r="T130" s="7"/>
      <c r="U130" s="7" t="s">
        <v>35</v>
      </c>
      <c r="V130" s="9">
        <v>39350.080000000002</v>
      </c>
      <c r="W130" s="9">
        <v>16967.75</v>
      </c>
      <c r="X130" s="9">
        <v>15669.2</v>
      </c>
      <c r="Y130" s="7">
        <v>0</v>
      </c>
      <c r="Z130" s="9">
        <v>6713.13</v>
      </c>
    </row>
    <row r="131" spans="1:26" x14ac:dyDescent="0.35">
      <c r="A131" s="7" t="s">
        <v>27</v>
      </c>
      <c r="B131" s="7" t="s">
        <v>44</v>
      </c>
      <c r="C131" s="7" t="s">
        <v>47</v>
      </c>
      <c r="D131" s="7" t="s">
        <v>47</v>
      </c>
      <c r="E131" s="7" t="s">
        <v>42</v>
      </c>
      <c r="F131" s="7" t="s">
        <v>81</v>
      </c>
      <c r="G131" s="7">
        <v>2017</v>
      </c>
      <c r="H131" s="7" t="str">
        <f>CONCATENATE("14270339360")</f>
        <v>14270339360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CONCATENATE("19 19.2 6b")</f>
        <v>19 19.2 6b</v>
      </c>
      <c r="M131" s="7" t="str">
        <f>CONCATENATE("00358230449")</f>
        <v>00358230449</v>
      </c>
      <c r="N131" s="7" t="s">
        <v>240</v>
      </c>
      <c r="O131" s="7" t="s">
        <v>239</v>
      </c>
      <c r="P131" s="8">
        <v>44537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34648.44</v>
      </c>
      <c r="W131" s="9">
        <v>14940.41</v>
      </c>
      <c r="X131" s="9">
        <v>13797.01</v>
      </c>
      <c r="Y131" s="7">
        <v>0</v>
      </c>
      <c r="Z131" s="9">
        <v>5911.02</v>
      </c>
    </row>
    <row r="132" spans="1:26" x14ac:dyDescent="0.35">
      <c r="A132" s="7" t="s">
        <v>27</v>
      </c>
      <c r="B132" s="7" t="s">
        <v>44</v>
      </c>
      <c r="C132" s="7" t="s">
        <v>47</v>
      </c>
      <c r="D132" s="7" t="s">
        <v>56</v>
      </c>
      <c r="E132" s="7" t="s">
        <v>43</v>
      </c>
      <c r="F132" s="7" t="s">
        <v>43</v>
      </c>
      <c r="G132" s="7">
        <v>2017</v>
      </c>
      <c r="H132" s="7" t="str">
        <f>CONCATENATE("14270333579")</f>
        <v>14270333579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CONCATENATE("6 6.1 2b")</f>
        <v>6 6.1 2b</v>
      </c>
      <c r="M132" s="7" t="str">
        <f>CONCATENATE("CPPLCU94C22I156U")</f>
        <v>CPPLCU94C22I156U</v>
      </c>
      <c r="N132" s="7" t="s">
        <v>241</v>
      </c>
      <c r="O132" s="7" t="s">
        <v>242</v>
      </c>
      <c r="P132" s="8">
        <v>44533</v>
      </c>
      <c r="Q132" s="7" t="s">
        <v>32</v>
      </c>
      <c r="R132" s="7" t="s">
        <v>45</v>
      </c>
      <c r="S132" s="7" t="s">
        <v>34</v>
      </c>
      <c r="T132" s="7"/>
      <c r="U132" s="7" t="s">
        <v>35</v>
      </c>
      <c r="V132" s="9">
        <v>28000</v>
      </c>
      <c r="W132" s="9">
        <v>12073.6</v>
      </c>
      <c r="X132" s="9">
        <v>11149.6</v>
      </c>
      <c r="Y132" s="7">
        <v>0</v>
      </c>
      <c r="Z132" s="9">
        <v>4776.8</v>
      </c>
    </row>
    <row r="133" spans="1:26" x14ac:dyDescent="0.35">
      <c r="A133" s="7" t="s">
        <v>27</v>
      </c>
      <c r="B133" s="7" t="s">
        <v>44</v>
      </c>
      <c r="C133" s="7" t="s">
        <v>47</v>
      </c>
      <c r="D133" s="7" t="s">
        <v>56</v>
      </c>
      <c r="E133" s="7" t="s">
        <v>43</v>
      </c>
      <c r="F133" s="7" t="s">
        <v>43</v>
      </c>
      <c r="G133" s="7">
        <v>2017</v>
      </c>
      <c r="H133" s="7" t="str">
        <f>CONCATENATE("14270333561")</f>
        <v>14270333561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CONCATENATE("6 6.1 2b")</f>
        <v>6 6.1 2b</v>
      </c>
      <c r="M133" s="7" t="str">
        <f>CONCATENATE("PLTJCP99T09I156U")</f>
        <v>PLTJCP99T09I156U</v>
      </c>
      <c r="N133" s="7" t="s">
        <v>243</v>
      </c>
      <c r="O133" s="7" t="s">
        <v>242</v>
      </c>
      <c r="P133" s="8">
        <v>44533</v>
      </c>
      <c r="Q133" s="7" t="s">
        <v>32</v>
      </c>
      <c r="R133" s="7" t="s">
        <v>45</v>
      </c>
      <c r="S133" s="7" t="s">
        <v>34</v>
      </c>
      <c r="T133" s="7"/>
      <c r="U133" s="7" t="s">
        <v>35</v>
      </c>
      <c r="V133" s="9">
        <v>42000</v>
      </c>
      <c r="W133" s="9">
        <v>18110.400000000001</v>
      </c>
      <c r="X133" s="9">
        <v>16724.400000000001</v>
      </c>
      <c r="Y133" s="7">
        <v>0</v>
      </c>
      <c r="Z133" s="9">
        <v>7165.2</v>
      </c>
    </row>
    <row r="134" spans="1:26" x14ac:dyDescent="0.35">
      <c r="A134" s="7" t="s">
        <v>27</v>
      </c>
      <c r="B134" s="7" t="s">
        <v>44</v>
      </c>
      <c r="C134" s="7" t="s">
        <v>47</v>
      </c>
      <c r="D134" s="7" t="s">
        <v>56</v>
      </c>
      <c r="E134" s="7" t="s">
        <v>43</v>
      </c>
      <c r="F134" s="7" t="s">
        <v>43</v>
      </c>
      <c r="G134" s="7">
        <v>2017</v>
      </c>
      <c r="H134" s="7" t="str">
        <f>CONCATENATE("14270333900")</f>
        <v>14270333900</v>
      </c>
      <c r="I134" s="7" t="s">
        <v>30</v>
      </c>
      <c r="J134" s="7" t="s">
        <v>31</v>
      </c>
      <c r="K134" s="7" t="str">
        <f>CONCATENATE("")</f>
        <v/>
      </c>
      <c r="L134" s="7" t="str">
        <f>CONCATENATE("6 6.1 2b")</f>
        <v>6 6.1 2b</v>
      </c>
      <c r="M134" s="7" t="str">
        <f>CONCATENATE("01474580436")</f>
        <v>01474580436</v>
      </c>
      <c r="N134" s="7" t="s">
        <v>244</v>
      </c>
      <c r="O134" s="7" t="s">
        <v>242</v>
      </c>
      <c r="P134" s="8">
        <v>44533</v>
      </c>
      <c r="Q134" s="7" t="s">
        <v>32</v>
      </c>
      <c r="R134" s="7" t="s">
        <v>45</v>
      </c>
      <c r="S134" s="7" t="s">
        <v>34</v>
      </c>
      <c r="T134" s="7"/>
      <c r="U134" s="7" t="s">
        <v>35</v>
      </c>
      <c r="V134" s="9">
        <v>28000</v>
      </c>
      <c r="W134" s="9">
        <v>12073.6</v>
      </c>
      <c r="X134" s="9">
        <v>11149.6</v>
      </c>
      <c r="Y134" s="7">
        <v>0</v>
      </c>
      <c r="Z134" s="9">
        <v>4776.8</v>
      </c>
    </row>
    <row r="135" spans="1:26" x14ac:dyDescent="0.35">
      <c r="A135" s="7" t="s">
        <v>27</v>
      </c>
      <c r="B135" s="7" t="s">
        <v>44</v>
      </c>
      <c r="C135" s="7" t="s">
        <v>47</v>
      </c>
      <c r="D135" s="7" t="s">
        <v>63</v>
      </c>
      <c r="E135" s="7" t="s">
        <v>43</v>
      </c>
      <c r="F135" s="7" t="s">
        <v>43</v>
      </c>
      <c r="G135" s="7">
        <v>2017</v>
      </c>
      <c r="H135" s="7" t="str">
        <f>CONCATENATE("14270333587")</f>
        <v>14270333587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CONCATENATE("6 6.1 2b")</f>
        <v>6 6.1 2b</v>
      </c>
      <c r="M135" s="7" t="str">
        <f>CONCATENATE("01952650438")</f>
        <v>01952650438</v>
      </c>
      <c r="N135" s="7" t="s">
        <v>245</v>
      </c>
      <c r="O135" s="7" t="s">
        <v>242</v>
      </c>
      <c r="P135" s="8">
        <v>44533</v>
      </c>
      <c r="Q135" s="7" t="s">
        <v>32</v>
      </c>
      <c r="R135" s="7" t="s">
        <v>45</v>
      </c>
      <c r="S135" s="7" t="s">
        <v>34</v>
      </c>
      <c r="T135" s="7"/>
      <c r="U135" s="7" t="s">
        <v>35</v>
      </c>
      <c r="V135" s="9">
        <v>28000</v>
      </c>
      <c r="W135" s="9">
        <v>12073.6</v>
      </c>
      <c r="X135" s="9">
        <v>11149.6</v>
      </c>
      <c r="Y135" s="7">
        <v>0</v>
      </c>
      <c r="Z135" s="9">
        <v>4776.8</v>
      </c>
    </row>
    <row r="136" spans="1:26" x14ac:dyDescent="0.35">
      <c r="A136" s="7" t="s">
        <v>27</v>
      </c>
      <c r="B136" s="7" t="s">
        <v>28</v>
      </c>
      <c r="C136" s="7" t="s">
        <v>47</v>
      </c>
      <c r="D136" s="7" t="s">
        <v>63</v>
      </c>
      <c r="E136" s="7" t="s">
        <v>29</v>
      </c>
      <c r="F136" s="7" t="s">
        <v>246</v>
      </c>
      <c r="G136" s="7">
        <v>2021</v>
      </c>
      <c r="H136" s="7" t="str">
        <f>CONCATENATE("14240352667")</f>
        <v>14240352667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CONCATENATE("11 11.2 4b")</f>
        <v>11 11.2 4b</v>
      </c>
      <c r="M136" s="7" t="str">
        <f>CONCATENATE("PRNRRT62H20G479I")</f>
        <v>PRNRRT62H20G479I</v>
      </c>
      <c r="N136" s="7" t="s">
        <v>247</v>
      </c>
      <c r="O136" s="7" t="s">
        <v>217</v>
      </c>
      <c r="P136" s="8">
        <v>44532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6713.45</v>
      </c>
      <c r="W136" s="9">
        <v>2894.84</v>
      </c>
      <c r="X136" s="9">
        <v>2673.3</v>
      </c>
      <c r="Y136" s="7">
        <v>0</v>
      </c>
      <c r="Z136" s="9">
        <v>1145.31</v>
      </c>
    </row>
    <row r="137" spans="1:26" ht="17.5" x14ac:dyDescent="0.35">
      <c r="A137" s="7" t="s">
        <v>27</v>
      </c>
      <c r="B137" s="7" t="s">
        <v>28</v>
      </c>
      <c r="C137" s="7" t="s">
        <v>47</v>
      </c>
      <c r="D137" s="7" t="s">
        <v>63</v>
      </c>
      <c r="E137" s="7" t="s">
        <v>29</v>
      </c>
      <c r="F137" s="7" t="s">
        <v>122</v>
      </c>
      <c r="G137" s="7">
        <v>2021</v>
      </c>
      <c r="H137" s="7" t="str">
        <f>CONCATENATE("14240221391")</f>
        <v>14240221391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CONCATENATE("11 11.2 4b")</f>
        <v>11 11.2 4b</v>
      </c>
      <c r="M137" s="7" t="str">
        <f>CONCATENATE("00984410415")</f>
        <v>00984410415</v>
      </c>
      <c r="N137" s="7" t="s">
        <v>248</v>
      </c>
      <c r="O137" s="7" t="s">
        <v>217</v>
      </c>
      <c r="P137" s="8">
        <v>44532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9">
        <v>47828.88</v>
      </c>
      <c r="W137" s="9">
        <v>20623.810000000001</v>
      </c>
      <c r="X137" s="9">
        <v>19045.46</v>
      </c>
      <c r="Y137" s="7">
        <v>0</v>
      </c>
      <c r="Z137" s="9">
        <v>8159.61</v>
      </c>
    </row>
    <row r="138" spans="1:26" x14ac:dyDescent="0.35">
      <c r="A138" s="7" t="s">
        <v>27</v>
      </c>
      <c r="B138" s="7" t="s">
        <v>28</v>
      </c>
      <c r="C138" s="7" t="s">
        <v>47</v>
      </c>
      <c r="D138" s="7" t="s">
        <v>63</v>
      </c>
      <c r="E138" s="7" t="s">
        <v>38</v>
      </c>
      <c r="F138" s="7" t="s">
        <v>161</v>
      </c>
      <c r="G138" s="7">
        <v>2021</v>
      </c>
      <c r="H138" s="7" t="str">
        <f>CONCATENATE("14241385161")</f>
        <v>14241385161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CONCATENATE("11 11.2 4b")</f>
        <v>11 11.2 4b</v>
      </c>
      <c r="M138" s="7" t="str">
        <f>CONCATENATE("02585740414")</f>
        <v>02585740414</v>
      </c>
      <c r="N138" s="7" t="s">
        <v>249</v>
      </c>
      <c r="O138" s="7" t="s">
        <v>217</v>
      </c>
      <c r="P138" s="8">
        <v>44532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64519.39</v>
      </c>
      <c r="W138" s="9">
        <v>27820.76</v>
      </c>
      <c r="X138" s="9">
        <v>25691.62</v>
      </c>
      <c r="Y138" s="7">
        <v>0</v>
      </c>
      <c r="Z138" s="9">
        <v>11007.01</v>
      </c>
    </row>
    <row r="139" spans="1:26" x14ac:dyDescent="0.35">
      <c r="A139" s="7" t="s">
        <v>27</v>
      </c>
      <c r="B139" s="7" t="s">
        <v>28</v>
      </c>
      <c r="C139" s="7" t="s">
        <v>47</v>
      </c>
      <c r="D139" s="7" t="s">
        <v>63</v>
      </c>
      <c r="E139" s="7" t="s">
        <v>36</v>
      </c>
      <c r="F139" s="7" t="s">
        <v>126</v>
      </c>
      <c r="G139" s="7">
        <v>2021</v>
      </c>
      <c r="H139" s="7" t="str">
        <f>CONCATENATE("14240855107")</f>
        <v>14240855107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CONCATENATE("11 11.2 4b")</f>
        <v>11 11.2 4b</v>
      </c>
      <c r="M139" s="7" t="str">
        <f>CONCATENATE("TMNGST54M20E351H")</f>
        <v>TMNGST54M20E351H</v>
      </c>
      <c r="N139" s="7" t="s">
        <v>250</v>
      </c>
      <c r="O139" s="7" t="s">
        <v>217</v>
      </c>
      <c r="P139" s="8">
        <v>44532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1880.04</v>
      </c>
      <c r="W139" s="7">
        <v>810.67</v>
      </c>
      <c r="X139" s="7">
        <v>748.63</v>
      </c>
      <c r="Y139" s="7">
        <v>0</v>
      </c>
      <c r="Z139" s="7">
        <v>320.74</v>
      </c>
    </row>
    <row r="140" spans="1:26" x14ac:dyDescent="0.35">
      <c r="A140" s="7" t="s">
        <v>27</v>
      </c>
      <c r="B140" s="7" t="s">
        <v>28</v>
      </c>
      <c r="C140" s="7" t="s">
        <v>47</v>
      </c>
      <c r="D140" s="7" t="s">
        <v>63</v>
      </c>
      <c r="E140" s="7" t="s">
        <v>29</v>
      </c>
      <c r="F140" s="7" t="s">
        <v>122</v>
      </c>
      <c r="G140" s="7">
        <v>2021</v>
      </c>
      <c r="H140" s="7" t="str">
        <f>CONCATENATE("14240353061")</f>
        <v>14240353061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CONCATENATE("11 11.2 4b")</f>
        <v>11 11.2 4b</v>
      </c>
      <c r="M140" s="7" t="str">
        <f>CONCATENATE("CCCBDT64T09I459G")</f>
        <v>CCCBDT64T09I459G</v>
      </c>
      <c r="N140" s="7" t="s">
        <v>251</v>
      </c>
      <c r="O140" s="7" t="s">
        <v>217</v>
      </c>
      <c r="P140" s="8">
        <v>44532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13407.9</v>
      </c>
      <c r="W140" s="9">
        <v>5781.49</v>
      </c>
      <c r="X140" s="9">
        <v>5339.03</v>
      </c>
      <c r="Y140" s="7">
        <v>0</v>
      </c>
      <c r="Z140" s="9">
        <v>2287.38</v>
      </c>
    </row>
    <row r="141" spans="1:26" x14ac:dyDescent="0.35">
      <c r="A141" s="7" t="s">
        <v>27</v>
      </c>
      <c r="B141" s="7" t="s">
        <v>28</v>
      </c>
      <c r="C141" s="7" t="s">
        <v>47</v>
      </c>
      <c r="D141" s="7" t="s">
        <v>63</v>
      </c>
      <c r="E141" s="7" t="s">
        <v>43</v>
      </c>
      <c r="F141" s="7" t="s">
        <v>43</v>
      </c>
      <c r="G141" s="7">
        <v>2021</v>
      </c>
      <c r="H141" s="7" t="str">
        <f>CONCATENATE("14240711615")</f>
        <v>14240711615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CONCATENATE("11 11.2 4b")</f>
        <v>11 11.2 4b</v>
      </c>
      <c r="M141" s="7" t="str">
        <f>CONCATENATE("CLNFNC53R07B816K")</f>
        <v>CLNFNC53R07B816K</v>
      </c>
      <c r="N141" s="7" t="s">
        <v>252</v>
      </c>
      <c r="O141" s="7" t="s">
        <v>217</v>
      </c>
      <c r="P141" s="8">
        <v>44532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8325.17</v>
      </c>
      <c r="W141" s="9">
        <v>3589.81</v>
      </c>
      <c r="X141" s="9">
        <v>3315.08</v>
      </c>
      <c r="Y141" s="7">
        <v>0</v>
      </c>
      <c r="Z141" s="9">
        <v>1420.28</v>
      </c>
    </row>
    <row r="142" spans="1:26" x14ac:dyDescent="0.35">
      <c r="A142" s="7" t="s">
        <v>27</v>
      </c>
      <c r="B142" s="7" t="s">
        <v>28</v>
      </c>
      <c r="C142" s="7" t="s">
        <v>47</v>
      </c>
      <c r="D142" s="7" t="s">
        <v>76</v>
      </c>
      <c r="E142" s="7" t="s">
        <v>29</v>
      </c>
      <c r="F142" s="7" t="s">
        <v>253</v>
      </c>
      <c r="G142" s="7">
        <v>2020</v>
      </c>
      <c r="H142" s="7" t="str">
        <f>CONCATENATE("04240589905")</f>
        <v>04240589905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CONCATENATE("11 11.2 4b")</f>
        <v>11 11.2 4b</v>
      </c>
      <c r="M142" s="7" t="str">
        <f>CONCATENATE("CRSGNN75D26H321F")</f>
        <v>CRSGNN75D26H321F</v>
      </c>
      <c r="N142" s="7" t="s">
        <v>254</v>
      </c>
      <c r="O142" s="7" t="s">
        <v>219</v>
      </c>
      <c r="P142" s="8">
        <v>44532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9">
        <v>4230.1000000000004</v>
      </c>
      <c r="W142" s="9">
        <v>1824.02</v>
      </c>
      <c r="X142" s="9">
        <v>1684.43</v>
      </c>
      <c r="Y142" s="7">
        <v>0</v>
      </c>
      <c r="Z142" s="7">
        <v>721.65</v>
      </c>
    </row>
    <row r="143" spans="1:26" x14ac:dyDescent="0.35">
      <c r="A143" s="7" t="s">
        <v>27</v>
      </c>
      <c r="B143" s="7" t="s">
        <v>28</v>
      </c>
      <c r="C143" s="7" t="s">
        <v>47</v>
      </c>
      <c r="D143" s="7" t="s">
        <v>76</v>
      </c>
      <c r="E143" s="7" t="s">
        <v>43</v>
      </c>
      <c r="F143" s="7" t="s">
        <v>43</v>
      </c>
      <c r="G143" s="7">
        <v>2021</v>
      </c>
      <c r="H143" s="7" t="str">
        <f>CONCATENATE("14241111716")</f>
        <v>14241111716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CONCATENATE("11 11.1 4b")</f>
        <v>11 11.1 4b</v>
      </c>
      <c r="M143" s="7" t="str">
        <f>CONCATENATE("BNCMHL91E10D542M")</f>
        <v>BNCMHL91E10D542M</v>
      </c>
      <c r="N143" s="7" t="s">
        <v>255</v>
      </c>
      <c r="O143" s="7" t="s">
        <v>219</v>
      </c>
      <c r="P143" s="8">
        <v>44532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9">
        <v>3916.11</v>
      </c>
      <c r="W143" s="9">
        <v>1688.63</v>
      </c>
      <c r="X143" s="9">
        <v>1559.4</v>
      </c>
      <c r="Y143" s="7">
        <v>0</v>
      </c>
      <c r="Z143" s="7">
        <v>668.08</v>
      </c>
    </row>
    <row r="144" spans="1:26" x14ac:dyDescent="0.35">
      <c r="A144" s="7" t="s">
        <v>27</v>
      </c>
      <c r="B144" s="7" t="s">
        <v>28</v>
      </c>
      <c r="C144" s="7" t="s">
        <v>47</v>
      </c>
      <c r="D144" s="7" t="s">
        <v>76</v>
      </c>
      <c r="E144" s="7" t="s">
        <v>29</v>
      </c>
      <c r="F144" s="7" t="s">
        <v>96</v>
      </c>
      <c r="G144" s="7">
        <v>2021</v>
      </c>
      <c r="H144" s="7" t="str">
        <f>CONCATENATE("14240579129")</f>
        <v>14240579129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CONCATENATE("11 11.2 4b")</f>
        <v>11 11.2 4b</v>
      </c>
      <c r="M144" s="7" t="str">
        <f>CONCATENATE("01879910444")</f>
        <v>01879910444</v>
      </c>
      <c r="N144" s="7" t="s">
        <v>256</v>
      </c>
      <c r="O144" s="7" t="s">
        <v>219</v>
      </c>
      <c r="P144" s="8">
        <v>44532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9">
        <v>3294.41</v>
      </c>
      <c r="W144" s="9">
        <v>1420.55</v>
      </c>
      <c r="X144" s="9">
        <v>1311.83</v>
      </c>
      <c r="Y144" s="7">
        <v>0</v>
      </c>
      <c r="Z144" s="7">
        <v>562.03</v>
      </c>
    </row>
    <row r="145" spans="1:26" x14ac:dyDescent="0.35">
      <c r="A145" s="7" t="s">
        <v>27</v>
      </c>
      <c r="B145" s="7" t="s">
        <v>28</v>
      </c>
      <c r="C145" s="7" t="s">
        <v>47</v>
      </c>
      <c r="D145" s="7" t="s">
        <v>76</v>
      </c>
      <c r="E145" s="7" t="s">
        <v>29</v>
      </c>
      <c r="F145" s="7" t="s">
        <v>257</v>
      </c>
      <c r="G145" s="7">
        <v>2021</v>
      </c>
      <c r="H145" s="7" t="str">
        <f>CONCATENATE("14240576976")</f>
        <v>14240576976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CONCATENATE("11 11.2 4b")</f>
        <v>11 11.2 4b</v>
      </c>
      <c r="M145" s="7" t="str">
        <f>CONCATENATE("DLBDRA67H22F520S")</f>
        <v>DLBDRA67H22F520S</v>
      </c>
      <c r="N145" s="7" t="s">
        <v>258</v>
      </c>
      <c r="O145" s="7" t="s">
        <v>219</v>
      </c>
      <c r="P145" s="8">
        <v>44532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9">
        <v>5650.51</v>
      </c>
      <c r="W145" s="9">
        <v>2436.5</v>
      </c>
      <c r="X145" s="9">
        <v>2250.0300000000002</v>
      </c>
      <c r="Y145" s="7">
        <v>0</v>
      </c>
      <c r="Z145" s="7">
        <v>963.98</v>
      </c>
    </row>
    <row r="146" spans="1:26" x14ac:dyDescent="0.35">
      <c r="A146" s="7" t="s">
        <v>27</v>
      </c>
      <c r="B146" s="7" t="s">
        <v>28</v>
      </c>
      <c r="C146" s="7" t="s">
        <v>47</v>
      </c>
      <c r="D146" s="7" t="s">
        <v>76</v>
      </c>
      <c r="E146" s="7" t="s">
        <v>43</v>
      </c>
      <c r="F146" s="7" t="s">
        <v>43</v>
      </c>
      <c r="G146" s="7">
        <v>2021</v>
      </c>
      <c r="H146" s="7" t="str">
        <f>CONCATENATE("14240849274")</f>
        <v>14240849274</v>
      </c>
      <c r="I146" s="7" t="s">
        <v>30</v>
      </c>
      <c r="J146" s="7" t="s">
        <v>31</v>
      </c>
      <c r="K146" s="7" t="str">
        <f>CONCATENATE("")</f>
        <v/>
      </c>
      <c r="L146" s="7" t="str">
        <f>CONCATENATE("11 11.2 4b")</f>
        <v>11 11.2 4b</v>
      </c>
      <c r="M146" s="7" t="str">
        <f>CONCATENATE("DNCSVN56T23G005Y")</f>
        <v>DNCSVN56T23G005Y</v>
      </c>
      <c r="N146" s="7" t="s">
        <v>259</v>
      </c>
      <c r="O146" s="7" t="s">
        <v>219</v>
      </c>
      <c r="P146" s="8">
        <v>44532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1439.88</v>
      </c>
      <c r="W146" s="7">
        <v>620.88</v>
      </c>
      <c r="X146" s="7">
        <v>573.36</v>
      </c>
      <c r="Y146" s="7">
        <v>0</v>
      </c>
      <c r="Z146" s="7">
        <v>245.64</v>
      </c>
    </row>
    <row r="147" spans="1:26" x14ac:dyDescent="0.35">
      <c r="A147" s="7" t="s">
        <v>27</v>
      </c>
      <c r="B147" s="7" t="s">
        <v>28</v>
      </c>
      <c r="C147" s="7" t="s">
        <v>47</v>
      </c>
      <c r="D147" s="7" t="s">
        <v>76</v>
      </c>
      <c r="E147" s="7" t="s">
        <v>43</v>
      </c>
      <c r="F147" s="7" t="s">
        <v>43</v>
      </c>
      <c r="G147" s="7">
        <v>2020</v>
      </c>
      <c r="H147" s="7" t="str">
        <f>CONCATENATE("04241407198")</f>
        <v>04241407198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CONCATENATE("11 11.2 4b")</f>
        <v>11 11.2 4b</v>
      </c>
      <c r="M147" s="7" t="str">
        <f>CONCATENATE("NCCRNN81C14H769H")</f>
        <v>NCCRNN81C14H769H</v>
      </c>
      <c r="N147" s="7" t="s">
        <v>260</v>
      </c>
      <c r="O147" s="7" t="s">
        <v>219</v>
      </c>
      <c r="P147" s="8">
        <v>44532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9">
        <v>1410.21</v>
      </c>
      <c r="W147" s="7">
        <v>608.08000000000004</v>
      </c>
      <c r="X147" s="7">
        <v>561.54999999999995</v>
      </c>
      <c r="Y147" s="7">
        <v>0</v>
      </c>
      <c r="Z147" s="7">
        <v>240.58</v>
      </c>
    </row>
    <row r="148" spans="1:26" x14ac:dyDescent="0.35">
      <c r="A148" s="7" t="s">
        <v>27</v>
      </c>
      <c r="B148" s="7" t="s">
        <v>28</v>
      </c>
      <c r="C148" s="7" t="s">
        <v>47</v>
      </c>
      <c r="D148" s="7" t="s">
        <v>76</v>
      </c>
      <c r="E148" s="7" t="s">
        <v>42</v>
      </c>
      <c r="F148" s="7" t="s">
        <v>81</v>
      </c>
      <c r="G148" s="7">
        <v>2021</v>
      </c>
      <c r="H148" s="7" t="str">
        <f>CONCATENATE("14241104273")</f>
        <v>14241104273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CONCATENATE("11 11.2 4b")</f>
        <v>11 11.2 4b</v>
      </c>
      <c r="M148" s="7" t="str">
        <f>CONCATENATE("DNGGZN71T07G005Q")</f>
        <v>DNGGZN71T07G005Q</v>
      </c>
      <c r="N148" s="7" t="s">
        <v>261</v>
      </c>
      <c r="O148" s="7" t="s">
        <v>219</v>
      </c>
      <c r="P148" s="8">
        <v>44532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7">
        <v>337.94</v>
      </c>
      <c r="W148" s="7">
        <v>145.72</v>
      </c>
      <c r="X148" s="7">
        <v>134.57</v>
      </c>
      <c r="Y148" s="7">
        <v>0</v>
      </c>
      <c r="Z148" s="7">
        <v>57.65</v>
      </c>
    </row>
    <row r="149" spans="1:26" x14ac:dyDescent="0.35">
      <c r="A149" s="7" t="s">
        <v>27</v>
      </c>
      <c r="B149" s="7" t="s">
        <v>28</v>
      </c>
      <c r="C149" s="7" t="s">
        <v>47</v>
      </c>
      <c r="D149" s="7" t="s">
        <v>76</v>
      </c>
      <c r="E149" s="7" t="s">
        <v>39</v>
      </c>
      <c r="F149" s="7" t="s">
        <v>262</v>
      </c>
      <c r="G149" s="7">
        <v>2021</v>
      </c>
      <c r="H149" s="7" t="str">
        <f>CONCATENATE("14240916693")</f>
        <v>14240916693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CONCATENATE("11 11.2 4b")</f>
        <v>11 11.2 4b</v>
      </c>
      <c r="M149" s="7" t="str">
        <f>CONCATENATE("GSPSDR73D46A462O")</f>
        <v>GSPSDR73D46A462O</v>
      </c>
      <c r="N149" s="7" t="s">
        <v>263</v>
      </c>
      <c r="O149" s="7" t="s">
        <v>219</v>
      </c>
      <c r="P149" s="8">
        <v>44532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9">
        <v>1385.11</v>
      </c>
      <c r="W149" s="7">
        <v>597.26</v>
      </c>
      <c r="X149" s="7">
        <v>551.54999999999995</v>
      </c>
      <c r="Y149" s="7">
        <v>0</v>
      </c>
      <c r="Z149" s="7">
        <v>236.3</v>
      </c>
    </row>
    <row r="150" spans="1:26" x14ac:dyDescent="0.35">
      <c r="A150" s="7" t="s">
        <v>27</v>
      </c>
      <c r="B150" s="7" t="s">
        <v>28</v>
      </c>
      <c r="C150" s="7" t="s">
        <v>47</v>
      </c>
      <c r="D150" s="7" t="s">
        <v>76</v>
      </c>
      <c r="E150" s="7" t="s">
        <v>36</v>
      </c>
      <c r="F150" s="7" t="s">
        <v>264</v>
      </c>
      <c r="G150" s="7">
        <v>2021</v>
      </c>
      <c r="H150" s="7" t="str">
        <f>CONCATENATE("14240955295")</f>
        <v>14240955295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CONCATENATE("11 11.2 4b")</f>
        <v>11 11.2 4b</v>
      </c>
      <c r="M150" s="7" t="str">
        <f>CONCATENATE("BLLFBA73P10I315W")</f>
        <v>BLLFBA73P10I315W</v>
      </c>
      <c r="N150" s="7" t="s">
        <v>265</v>
      </c>
      <c r="O150" s="7" t="s">
        <v>219</v>
      </c>
      <c r="P150" s="8">
        <v>44532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9">
        <v>3590.41</v>
      </c>
      <c r="W150" s="9">
        <v>1548.18</v>
      </c>
      <c r="X150" s="9">
        <v>1429.7</v>
      </c>
      <c r="Y150" s="7">
        <v>0</v>
      </c>
      <c r="Z150" s="7">
        <v>612.53</v>
      </c>
    </row>
    <row r="151" spans="1:26" x14ac:dyDescent="0.35">
      <c r="A151" s="7" t="s">
        <v>27</v>
      </c>
      <c r="B151" s="7" t="s">
        <v>44</v>
      </c>
      <c r="C151" s="7" t="s">
        <v>47</v>
      </c>
      <c r="D151" s="7" t="s">
        <v>76</v>
      </c>
      <c r="E151" s="7" t="s">
        <v>29</v>
      </c>
      <c r="F151" s="7" t="s">
        <v>266</v>
      </c>
      <c r="G151" s="7">
        <v>2017</v>
      </c>
      <c r="H151" s="7" t="str">
        <f>CONCATENATE("14270341085")</f>
        <v>14270341085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CONCATENATE("4 4.1 2a")</f>
        <v>4 4.1 2a</v>
      </c>
      <c r="M151" s="7" t="str">
        <f>CONCATENATE("LRAFBA87T03A462Q")</f>
        <v>LRAFBA87T03A462Q</v>
      </c>
      <c r="N151" s="7" t="s">
        <v>267</v>
      </c>
      <c r="O151" s="7" t="s">
        <v>268</v>
      </c>
      <c r="P151" s="8">
        <v>44539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43546.79</v>
      </c>
      <c r="W151" s="9">
        <v>18777.38</v>
      </c>
      <c r="X151" s="9">
        <v>17340.330000000002</v>
      </c>
      <c r="Y151" s="7">
        <v>0</v>
      </c>
      <c r="Z151" s="9">
        <v>7429.08</v>
      </c>
    </row>
    <row r="152" spans="1:26" x14ac:dyDescent="0.35">
      <c r="A152" s="7" t="s">
        <v>27</v>
      </c>
      <c r="B152" s="7" t="s">
        <v>44</v>
      </c>
      <c r="C152" s="7" t="s">
        <v>47</v>
      </c>
      <c r="D152" s="7" t="s">
        <v>76</v>
      </c>
      <c r="E152" s="7" t="s">
        <v>29</v>
      </c>
      <c r="F152" s="7" t="s">
        <v>266</v>
      </c>
      <c r="G152" s="7">
        <v>2017</v>
      </c>
      <c r="H152" s="7" t="str">
        <f>CONCATENATE("14270341077")</f>
        <v>14270341077</v>
      </c>
      <c r="I152" s="7" t="s">
        <v>30</v>
      </c>
      <c r="J152" s="7" t="s">
        <v>31</v>
      </c>
      <c r="K152" s="7" t="str">
        <f>CONCATENATE("")</f>
        <v/>
      </c>
      <c r="L152" s="7" t="str">
        <f>CONCATENATE("6 6.1 2b")</f>
        <v>6 6.1 2b</v>
      </c>
      <c r="M152" s="7" t="str">
        <f>CONCATENATE("LRAFBA87T03A462Q")</f>
        <v>LRAFBA87T03A462Q</v>
      </c>
      <c r="N152" s="7" t="s">
        <v>267</v>
      </c>
      <c r="O152" s="7" t="s">
        <v>269</v>
      </c>
      <c r="P152" s="8">
        <v>44539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9">
        <v>18000</v>
      </c>
      <c r="W152" s="9">
        <v>7761.6</v>
      </c>
      <c r="X152" s="9">
        <v>7167.6</v>
      </c>
      <c r="Y152" s="7">
        <v>0</v>
      </c>
      <c r="Z152" s="9">
        <v>3070.8</v>
      </c>
    </row>
    <row r="153" spans="1:26" x14ac:dyDescent="0.35">
      <c r="A153" s="7" t="s">
        <v>27</v>
      </c>
      <c r="B153" s="7" t="s">
        <v>44</v>
      </c>
      <c r="C153" s="7" t="s">
        <v>47</v>
      </c>
      <c r="D153" s="7" t="s">
        <v>63</v>
      </c>
      <c r="E153" s="7" t="s">
        <v>43</v>
      </c>
      <c r="F153" s="7" t="s">
        <v>43</v>
      </c>
      <c r="G153" s="7">
        <v>2017</v>
      </c>
      <c r="H153" s="7" t="str">
        <f>CONCATENATE("14270339394")</f>
        <v>14270339394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CONCATENATE("4 4.1 2a")</f>
        <v>4 4.1 2a</v>
      </c>
      <c r="M153" s="7" t="str">
        <f>CONCATENATE("00414160416")</f>
        <v>00414160416</v>
      </c>
      <c r="N153" s="7" t="s">
        <v>270</v>
      </c>
      <c r="O153" s="7" t="s">
        <v>271</v>
      </c>
      <c r="P153" s="8">
        <v>44537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9">
        <v>156315.92000000001</v>
      </c>
      <c r="W153" s="9">
        <v>67403.42</v>
      </c>
      <c r="X153" s="9">
        <v>62245</v>
      </c>
      <c r="Y153" s="7">
        <v>0</v>
      </c>
      <c r="Z153" s="9">
        <v>26667.5</v>
      </c>
    </row>
    <row r="154" spans="1:26" x14ac:dyDescent="0.35">
      <c r="A154" s="7" t="s">
        <v>27</v>
      </c>
      <c r="B154" s="7" t="s">
        <v>44</v>
      </c>
      <c r="C154" s="7" t="s">
        <v>47</v>
      </c>
      <c r="D154" s="7" t="s">
        <v>76</v>
      </c>
      <c r="E154" s="7" t="s">
        <v>43</v>
      </c>
      <c r="F154" s="7" t="s">
        <v>43</v>
      </c>
      <c r="G154" s="7">
        <v>2017</v>
      </c>
      <c r="H154" s="7" t="str">
        <f>CONCATENATE("14270304950")</f>
        <v>14270304950</v>
      </c>
      <c r="I154" s="7" t="s">
        <v>40</v>
      </c>
      <c r="J154" s="7" t="s">
        <v>31</v>
      </c>
      <c r="K154" s="7" t="str">
        <f>CONCATENATE("")</f>
        <v/>
      </c>
      <c r="L154" s="7" t="str">
        <f>CONCATENATE("4 4.1 2a")</f>
        <v>4 4.1 2a</v>
      </c>
      <c r="M154" s="7" t="str">
        <f>CONCATENATE("LVNMLT45R44H182F")</f>
        <v>LVNMLT45R44H182F</v>
      </c>
      <c r="N154" s="7" t="s">
        <v>272</v>
      </c>
      <c r="O154" s="7" t="s">
        <v>271</v>
      </c>
      <c r="P154" s="8">
        <v>44537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9">
        <v>156584.85</v>
      </c>
      <c r="W154" s="9">
        <v>67519.39</v>
      </c>
      <c r="X154" s="9">
        <v>62352.09</v>
      </c>
      <c r="Y154" s="7">
        <v>0</v>
      </c>
      <c r="Z154" s="9">
        <v>26713.37</v>
      </c>
    </row>
    <row r="155" spans="1:26" x14ac:dyDescent="0.35">
      <c r="A155" s="7" t="s">
        <v>27</v>
      </c>
      <c r="B155" s="7" t="s">
        <v>44</v>
      </c>
      <c r="C155" s="7" t="s">
        <v>47</v>
      </c>
      <c r="D155" s="7" t="s">
        <v>63</v>
      </c>
      <c r="E155" s="7" t="s">
        <v>43</v>
      </c>
      <c r="F155" s="7" t="s">
        <v>43</v>
      </c>
      <c r="G155" s="7">
        <v>2017</v>
      </c>
      <c r="H155" s="7" t="str">
        <f>CONCATENATE("14270309421")</f>
        <v>14270309421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CONCATENATE("4 4.1 2a")</f>
        <v>4 4.1 2a</v>
      </c>
      <c r="M155" s="7" t="str">
        <f>CONCATENATE("LNDLCU79L14L500V")</f>
        <v>LNDLCU79L14L500V</v>
      </c>
      <c r="N155" s="7" t="s">
        <v>273</v>
      </c>
      <c r="O155" s="7" t="s">
        <v>271</v>
      </c>
      <c r="P155" s="8">
        <v>44537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9">
        <v>214193.42</v>
      </c>
      <c r="W155" s="9">
        <v>92360.2</v>
      </c>
      <c r="X155" s="9">
        <v>85291.82</v>
      </c>
      <c r="Y155" s="7">
        <v>0</v>
      </c>
      <c r="Z155" s="9">
        <v>36541.4</v>
      </c>
    </row>
    <row r="156" spans="1:26" x14ac:dyDescent="0.35">
      <c r="A156" s="7" t="s">
        <v>27</v>
      </c>
      <c r="B156" s="7" t="s">
        <v>44</v>
      </c>
      <c r="C156" s="7" t="s">
        <v>47</v>
      </c>
      <c r="D156" s="7" t="s">
        <v>52</v>
      </c>
      <c r="E156" s="7" t="s">
        <v>43</v>
      </c>
      <c r="F156" s="7" t="s">
        <v>43</v>
      </c>
      <c r="G156" s="7">
        <v>2017</v>
      </c>
      <c r="H156" s="7" t="str">
        <f>CONCATENATE("14270338685")</f>
        <v>14270338685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CONCATENATE("3 3.2 3a")</f>
        <v>3 3.2 3a</v>
      </c>
      <c r="M156" s="7" t="str">
        <f>CONCATENATE("00807560420")</f>
        <v>00807560420</v>
      </c>
      <c r="N156" s="7" t="s">
        <v>274</v>
      </c>
      <c r="O156" s="7" t="s">
        <v>275</v>
      </c>
      <c r="P156" s="8">
        <v>44539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9">
        <v>130266.83</v>
      </c>
      <c r="W156" s="9">
        <v>56171.06</v>
      </c>
      <c r="X156" s="9">
        <v>51872.25</v>
      </c>
      <c r="Y156" s="7">
        <v>0</v>
      </c>
      <c r="Z156" s="9">
        <v>22223.52</v>
      </c>
    </row>
    <row r="157" spans="1:26" x14ac:dyDescent="0.35">
      <c r="A157" s="7" t="s">
        <v>27</v>
      </c>
      <c r="B157" s="7" t="s">
        <v>44</v>
      </c>
      <c r="C157" s="7" t="s">
        <v>47</v>
      </c>
      <c r="D157" s="7" t="s">
        <v>47</v>
      </c>
      <c r="E157" s="7" t="s">
        <v>43</v>
      </c>
      <c r="F157" s="7" t="s">
        <v>43</v>
      </c>
      <c r="G157" s="7">
        <v>2017</v>
      </c>
      <c r="H157" s="7" t="str">
        <f>CONCATENATE("14270334007")</f>
        <v>14270334007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CONCATENATE("19 19.2 6b")</f>
        <v>19 19.2 6b</v>
      </c>
      <c r="M157" s="7" t="str">
        <f>CONCATENATE("00357010446")</f>
        <v>00357010446</v>
      </c>
      <c r="N157" s="7" t="s">
        <v>276</v>
      </c>
      <c r="O157" s="7" t="s">
        <v>277</v>
      </c>
      <c r="P157" s="8">
        <v>44537</v>
      </c>
      <c r="Q157" s="7" t="s">
        <v>32</v>
      </c>
      <c r="R157" s="7" t="s">
        <v>46</v>
      </c>
      <c r="S157" s="7" t="s">
        <v>34</v>
      </c>
      <c r="T157" s="7"/>
      <c r="U157" s="7" t="s">
        <v>35</v>
      </c>
      <c r="V157" s="9">
        <v>24573.06</v>
      </c>
      <c r="W157" s="9">
        <v>10595.9</v>
      </c>
      <c r="X157" s="9">
        <v>9784.99</v>
      </c>
      <c r="Y157" s="7">
        <v>0</v>
      </c>
      <c r="Z157" s="9">
        <v>4192.17</v>
      </c>
    </row>
    <row r="158" spans="1:26" x14ac:dyDescent="0.35">
      <c r="A158" s="7" t="s">
        <v>27</v>
      </c>
      <c r="B158" s="7" t="s">
        <v>44</v>
      </c>
      <c r="C158" s="7" t="s">
        <v>47</v>
      </c>
      <c r="D158" s="7" t="s">
        <v>63</v>
      </c>
      <c r="E158" s="7" t="s">
        <v>43</v>
      </c>
      <c r="F158" s="7" t="s">
        <v>43</v>
      </c>
      <c r="G158" s="7">
        <v>2017</v>
      </c>
      <c r="H158" s="7" t="str">
        <f>CONCATENATE("14270304976")</f>
        <v>14270304976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CONCATENATE("4 4.1 2a")</f>
        <v>4 4.1 2a</v>
      </c>
      <c r="M158" s="7" t="str">
        <f>CONCATENATE("NTMMHL55E17Z102Q")</f>
        <v>NTMMHL55E17Z102Q</v>
      </c>
      <c r="N158" s="7" t="s">
        <v>278</v>
      </c>
      <c r="O158" s="7" t="s">
        <v>271</v>
      </c>
      <c r="P158" s="8">
        <v>44537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9">
        <v>63228.39</v>
      </c>
      <c r="W158" s="9">
        <v>27264.080000000002</v>
      </c>
      <c r="X158" s="9">
        <v>25177.54</v>
      </c>
      <c r="Y158" s="7">
        <v>0</v>
      </c>
      <c r="Z158" s="9">
        <v>10786.77</v>
      </c>
    </row>
    <row r="159" spans="1:26" x14ac:dyDescent="0.35">
      <c r="A159" s="7" t="s">
        <v>27</v>
      </c>
      <c r="B159" s="7" t="s">
        <v>44</v>
      </c>
      <c r="C159" s="7" t="s">
        <v>47</v>
      </c>
      <c r="D159" s="7" t="s">
        <v>76</v>
      </c>
      <c r="E159" s="7" t="s">
        <v>29</v>
      </c>
      <c r="F159" s="7" t="s">
        <v>153</v>
      </c>
      <c r="G159" s="7">
        <v>2017</v>
      </c>
      <c r="H159" s="7" t="str">
        <f>CONCATENATE("14270337323")</f>
        <v>14270337323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CONCATENATE("6 6.1 2b")</f>
        <v>6 6.1 2b</v>
      </c>
      <c r="M159" s="7" t="str">
        <f>CONCATENATE("FLCLDA86D11H769B")</f>
        <v>FLCLDA86D11H769B</v>
      </c>
      <c r="N159" s="7" t="s">
        <v>154</v>
      </c>
      <c r="O159" s="7" t="s">
        <v>279</v>
      </c>
      <c r="P159" s="8">
        <v>44537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10500</v>
      </c>
      <c r="W159" s="9">
        <v>4527.6000000000004</v>
      </c>
      <c r="X159" s="9">
        <v>4181.1000000000004</v>
      </c>
      <c r="Y159" s="7">
        <v>0</v>
      </c>
      <c r="Z159" s="9">
        <v>1791.3</v>
      </c>
    </row>
    <row r="160" spans="1:26" ht="17.5" x14ac:dyDescent="0.35">
      <c r="A160" s="7" t="s">
        <v>27</v>
      </c>
      <c r="B160" s="7" t="s">
        <v>28</v>
      </c>
      <c r="C160" s="7" t="s">
        <v>47</v>
      </c>
      <c r="D160" s="7" t="s">
        <v>63</v>
      </c>
      <c r="E160" s="7" t="s">
        <v>37</v>
      </c>
      <c r="F160" s="7" t="s">
        <v>113</v>
      </c>
      <c r="G160" s="7">
        <v>2021</v>
      </c>
      <c r="H160" s="7" t="str">
        <f>CONCATENATE("14241022970")</f>
        <v>14241022970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CONCATENATE("11 11.2 4b")</f>
        <v>11 11.2 4b</v>
      </c>
      <c r="M160" s="7" t="str">
        <f>CONCATENATE("MGNRNZ56M20G479H")</f>
        <v>MGNRNZ56M20G479H</v>
      </c>
      <c r="N160" s="7" t="s">
        <v>280</v>
      </c>
      <c r="O160" s="7" t="s">
        <v>217</v>
      </c>
      <c r="P160" s="8">
        <v>44532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111612.81</v>
      </c>
      <c r="W160" s="9">
        <v>48127.44</v>
      </c>
      <c r="X160" s="9">
        <v>44444.22</v>
      </c>
      <c r="Y160" s="7">
        <v>0</v>
      </c>
      <c r="Z160" s="9">
        <v>19041.150000000001</v>
      </c>
    </row>
    <row r="161" spans="1:26" x14ac:dyDescent="0.35">
      <c r="A161" s="7" t="s">
        <v>27</v>
      </c>
      <c r="B161" s="7" t="s">
        <v>28</v>
      </c>
      <c r="C161" s="7" t="s">
        <v>47</v>
      </c>
      <c r="D161" s="7" t="s">
        <v>63</v>
      </c>
      <c r="E161" s="7" t="s">
        <v>36</v>
      </c>
      <c r="F161" s="7" t="s">
        <v>116</v>
      </c>
      <c r="G161" s="7">
        <v>2021</v>
      </c>
      <c r="H161" s="7" t="str">
        <f>CONCATENATE("14241199349")</f>
        <v>14241199349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CONCATENATE("11 11.1 4b")</f>
        <v>11 11.1 4b</v>
      </c>
      <c r="M161" s="7" t="str">
        <f>CONCATENATE("LGRGPP82E22A662B")</f>
        <v>LGRGPP82E22A662B</v>
      </c>
      <c r="N161" s="7" t="s">
        <v>281</v>
      </c>
      <c r="O161" s="7" t="s">
        <v>217</v>
      </c>
      <c r="P161" s="8">
        <v>44532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3561.7</v>
      </c>
      <c r="W161" s="9">
        <v>1535.81</v>
      </c>
      <c r="X161" s="9">
        <v>1418.27</v>
      </c>
      <c r="Y161" s="7">
        <v>0</v>
      </c>
      <c r="Z161" s="7">
        <v>607.62</v>
      </c>
    </row>
    <row r="162" spans="1:26" x14ac:dyDescent="0.35">
      <c r="A162" s="7" t="s">
        <v>27</v>
      </c>
      <c r="B162" s="7" t="s">
        <v>28</v>
      </c>
      <c r="C162" s="7" t="s">
        <v>47</v>
      </c>
      <c r="D162" s="7" t="s">
        <v>63</v>
      </c>
      <c r="E162" s="7" t="s">
        <v>29</v>
      </c>
      <c r="F162" s="7" t="s">
        <v>122</v>
      </c>
      <c r="G162" s="7">
        <v>2021</v>
      </c>
      <c r="H162" s="7" t="str">
        <f>CONCATENATE("14240221672")</f>
        <v>14240221672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CONCATENATE("11 11.1 4b")</f>
        <v>11 11.1 4b</v>
      </c>
      <c r="M162" s="7" t="str">
        <f>CONCATENATE("TPOFRZ66L14I287V")</f>
        <v>TPOFRZ66L14I287V</v>
      </c>
      <c r="N162" s="7" t="s">
        <v>282</v>
      </c>
      <c r="O162" s="7" t="s">
        <v>217</v>
      </c>
      <c r="P162" s="8">
        <v>44532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9">
        <v>12744.88</v>
      </c>
      <c r="W162" s="9">
        <v>5495.59</v>
      </c>
      <c r="X162" s="9">
        <v>5075.01</v>
      </c>
      <c r="Y162" s="7">
        <v>0</v>
      </c>
      <c r="Z162" s="9">
        <v>2174.2800000000002</v>
      </c>
    </row>
    <row r="163" spans="1:26" x14ac:dyDescent="0.35">
      <c r="A163" s="7" t="s">
        <v>27</v>
      </c>
      <c r="B163" s="7" t="s">
        <v>28</v>
      </c>
      <c r="C163" s="7" t="s">
        <v>47</v>
      </c>
      <c r="D163" s="7" t="s">
        <v>63</v>
      </c>
      <c r="E163" s="7" t="s">
        <v>37</v>
      </c>
      <c r="F163" s="7" t="s">
        <v>136</v>
      </c>
      <c r="G163" s="7">
        <v>2021</v>
      </c>
      <c r="H163" s="7" t="str">
        <f>CONCATENATE("14240208422")</f>
        <v>14240208422</v>
      </c>
      <c r="I163" s="7" t="s">
        <v>30</v>
      </c>
      <c r="J163" s="7" t="s">
        <v>31</v>
      </c>
      <c r="K163" s="7" t="str">
        <f>CONCATENATE("")</f>
        <v/>
      </c>
      <c r="L163" s="7" t="str">
        <f>CONCATENATE("11 11.2 4b")</f>
        <v>11 11.2 4b</v>
      </c>
      <c r="M163" s="7" t="str">
        <f>CONCATENATE("RCLLNZ74L07L500H")</f>
        <v>RCLLNZ74L07L500H</v>
      </c>
      <c r="N163" s="7" t="s">
        <v>283</v>
      </c>
      <c r="O163" s="7" t="s">
        <v>217</v>
      </c>
      <c r="P163" s="8">
        <v>44532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7143.66</v>
      </c>
      <c r="W163" s="9">
        <v>3080.35</v>
      </c>
      <c r="X163" s="9">
        <v>2844.61</v>
      </c>
      <c r="Y163" s="7">
        <v>0</v>
      </c>
      <c r="Z163" s="9">
        <v>1218.7</v>
      </c>
    </row>
    <row r="164" spans="1:26" x14ac:dyDescent="0.35">
      <c r="A164" s="7" t="s">
        <v>27</v>
      </c>
      <c r="B164" s="7" t="s">
        <v>28</v>
      </c>
      <c r="C164" s="7" t="s">
        <v>47</v>
      </c>
      <c r="D164" s="7" t="s">
        <v>63</v>
      </c>
      <c r="E164" s="7" t="s">
        <v>36</v>
      </c>
      <c r="F164" s="7" t="s">
        <v>126</v>
      </c>
      <c r="G164" s="7">
        <v>2021</v>
      </c>
      <c r="H164" s="7" t="str">
        <f>CONCATENATE("14240654526")</f>
        <v>14240654526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CONCATENATE("11 11.2 4b")</f>
        <v>11 11.2 4b</v>
      </c>
      <c r="M164" s="7" t="str">
        <f>CONCATENATE("TRLGRL61C70F310Z")</f>
        <v>TRLGRL61C70F310Z</v>
      </c>
      <c r="N164" s="7" t="s">
        <v>284</v>
      </c>
      <c r="O164" s="7" t="s">
        <v>217</v>
      </c>
      <c r="P164" s="8">
        <v>44532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1923.55</v>
      </c>
      <c r="W164" s="7">
        <v>829.43</v>
      </c>
      <c r="X164" s="7">
        <v>765.96</v>
      </c>
      <c r="Y164" s="7">
        <v>0</v>
      </c>
      <c r="Z164" s="7">
        <v>328.16</v>
      </c>
    </row>
    <row r="165" spans="1:26" x14ac:dyDescent="0.35">
      <c r="A165" s="7" t="s">
        <v>27</v>
      </c>
      <c r="B165" s="7" t="s">
        <v>28</v>
      </c>
      <c r="C165" s="7" t="s">
        <v>47</v>
      </c>
      <c r="D165" s="7" t="s">
        <v>63</v>
      </c>
      <c r="E165" s="7" t="s">
        <v>29</v>
      </c>
      <c r="F165" s="7" t="s">
        <v>133</v>
      </c>
      <c r="G165" s="7">
        <v>2021</v>
      </c>
      <c r="H165" s="7" t="str">
        <f>CONCATENATE("14240867094")</f>
        <v>14240867094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CONCATENATE("11 11.2 4b")</f>
        <v>11 11.2 4b</v>
      </c>
      <c r="M165" s="7" t="str">
        <f>CONCATENATE("02470710415")</f>
        <v>02470710415</v>
      </c>
      <c r="N165" s="7" t="s">
        <v>285</v>
      </c>
      <c r="O165" s="7" t="s">
        <v>217</v>
      </c>
      <c r="P165" s="8">
        <v>44532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9">
        <v>3434.87</v>
      </c>
      <c r="W165" s="9">
        <v>1481.12</v>
      </c>
      <c r="X165" s="9">
        <v>1367.77</v>
      </c>
      <c r="Y165" s="7">
        <v>0</v>
      </c>
      <c r="Z165" s="7">
        <v>585.98</v>
      </c>
    </row>
    <row r="166" spans="1:26" x14ac:dyDescent="0.35">
      <c r="A166" s="7" t="s">
        <v>27</v>
      </c>
      <c r="B166" s="7" t="s">
        <v>28</v>
      </c>
      <c r="C166" s="7" t="s">
        <v>47</v>
      </c>
      <c r="D166" s="7" t="s">
        <v>76</v>
      </c>
      <c r="E166" s="7" t="s">
        <v>36</v>
      </c>
      <c r="F166" s="7" t="s">
        <v>286</v>
      </c>
      <c r="G166" s="7">
        <v>2021</v>
      </c>
      <c r="H166" s="7" t="str">
        <f>CONCATENATE("14240280199")</f>
        <v>14240280199</v>
      </c>
      <c r="I166" s="7" t="s">
        <v>30</v>
      </c>
      <c r="J166" s="7" t="s">
        <v>31</v>
      </c>
      <c r="K166" s="7" t="str">
        <f>CONCATENATE("")</f>
        <v/>
      </c>
      <c r="L166" s="7" t="str">
        <f>CONCATENATE("11 11.2 4b")</f>
        <v>11 11.2 4b</v>
      </c>
      <c r="M166" s="7" t="str">
        <f>CONCATENATE("KLDJNN67T18Z112T")</f>
        <v>KLDJNN67T18Z112T</v>
      </c>
      <c r="N166" s="7" t="s">
        <v>287</v>
      </c>
      <c r="O166" s="7" t="s">
        <v>219</v>
      </c>
      <c r="P166" s="8">
        <v>44532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7">
        <v>393.06</v>
      </c>
      <c r="W166" s="7">
        <v>169.49</v>
      </c>
      <c r="X166" s="7">
        <v>156.52000000000001</v>
      </c>
      <c r="Y166" s="7">
        <v>0</v>
      </c>
      <c r="Z166" s="7">
        <v>67.05</v>
      </c>
    </row>
    <row r="167" spans="1:26" x14ac:dyDescent="0.35">
      <c r="A167" s="7" t="s">
        <v>27</v>
      </c>
      <c r="B167" s="7" t="s">
        <v>28</v>
      </c>
      <c r="C167" s="7" t="s">
        <v>47</v>
      </c>
      <c r="D167" s="7" t="s">
        <v>76</v>
      </c>
      <c r="E167" s="7" t="s">
        <v>43</v>
      </c>
      <c r="F167" s="7" t="s">
        <v>43</v>
      </c>
      <c r="G167" s="7">
        <v>2021</v>
      </c>
      <c r="H167" s="7" t="str">
        <f>CONCATENATE("14241031930")</f>
        <v>14241031930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CONCATENATE("11 11.2 4b")</f>
        <v>11 11.2 4b</v>
      </c>
      <c r="M167" s="7" t="str">
        <f>CONCATENATE("FCCVCN34S18B727J")</f>
        <v>FCCVCN34S18B727J</v>
      </c>
      <c r="N167" s="7" t="s">
        <v>288</v>
      </c>
      <c r="O167" s="7" t="s">
        <v>219</v>
      </c>
      <c r="P167" s="8">
        <v>44532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7">
        <v>601.77</v>
      </c>
      <c r="W167" s="7">
        <v>259.48</v>
      </c>
      <c r="X167" s="7">
        <v>239.62</v>
      </c>
      <c r="Y167" s="7">
        <v>0</v>
      </c>
      <c r="Z167" s="7">
        <v>102.67</v>
      </c>
    </row>
    <row r="168" spans="1:26" x14ac:dyDescent="0.35">
      <c r="A168" s="7" t="s">
        <v>27</v>
      </c>
      <c r="B168" s="7" t="s">
        <v>44</v>
      </c>
      <c r="C168" s="7" t="s">
        <v>47</v>
      </c>
      <c r="D168" s="7" t="s">
        <v>76</v>
      </c>
      <c r="E168" s="7" t="s">
        <v>42</v>
      </c>
      <c r="F168" s="7" t="s">
        <v>81</v>
      </c>
      <c r="G168" s="7">
        <v>2017</v>
      </c>
      <c r="H168" s="7" t="str">
        <f>CONCATENATE("14270304968")</f>
        <v>14270304968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CONCATENATE("4 4.1 2a")</f>
        <v>4 4.1 2a</v>
      </c>
      <c r="M168" s="7" t="str">
        <f>CONCATENATE("CLNGZN59R02A462D")</f>
        <v>CLNGZN59R02A462D</v>
      </c>
      <c r="N168" s="7" t="s">
        <v>289</v>
      </c>
      <c r="O168" s="7" t="s">
        <v>271</v>
      </c>
      <c r="P168" s="8">
        <v>44537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9">
        <v>66464.52</v>
      </c>
      <c r="W168" s="9">
        <v>28659.5</v>
      </c>
      <c r="X168" s="9">
        <v>26466.17</v>
      </c>
      <c r="Y168" s="7">
        <v>0</v>
      </c>
      <c r="Z168" s="9">
        <v>11338.85</v>
      </c>
    </row>
    <row r="169" spans="1:26" x14ac:dyDescent="0.35">
      <c r="A169" s="7" t="s">
        <v>27</v>
      </c>
      <c r="B169" s="7" t="s">
        <v>44</v>
      </c>
      <c r="C169" s="7" t="s">
        <v>47</v>
      </c>
      <c r="D169" s="7" t="s">
        <v>56</v>
      </c>
      <c r="E169" s="7" t="s">
        <v>43</v>
      </c>
      <c r="F169" s="7" t="s">
        <v>43</v>
      </c>
      <c r="G169" s="7">
        <v>2017</v>
      </c>
      <c r="H169" s="7" t="str">
        <f>CONCATENATE("14270309520")</f>
        <v>14270309520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CONCATENATE("4 4.4 4c")</f>
        <v>4 4.4 4c</v>
      </c>
      <c r="M169" s="7" t="str">
        <f>CONCATENATE("BCCNRC78C21I436T")</f>
        <v>BCCNRC78C21I436T</v>
      </c>
      <c r="N169" s="7" t="s">
        <v>290</v>
      </c>
      <c r="O169" s="7" t="s">
        <v>291</v>
      </c>
      <c r="P169" s="8">
        <v>44522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9">
        <v>3228.66</v>
      </c>
      <c r="W169" s="9">
        <v>1392.2</v>
      </c>
      <c r="X169" s="9">
        <v>1285.6500000000001</v>
      </c>
      <c r="Y169" s="7">
        <v>0</v>
      </c>
      <c r="Z169" s="7">
        <v>550.80999999999995</v>
      </c>
    </row>
    <row r="170" spans="1:26" x14ac:dyDescent="0.35">
      <c r="A170" s="7" t="s">
        <v>27</v>
      </c>
      <c r="B170" s="7" t="s">
        <v>44</v>
      </c>
      <c r="C170" s="7" t="s">
        <v>47</v>
      </c>
      <c r="D170" s="7" t="s">
        <v>56</v>
      </c>
      <c r="E170" s="7" t="s">
        <v>43</v>
      </c>
      <c r="F170" s="7" t="s">
        <v>43</v>
      </c>
      <c r="G170" s="7">
        <v>2017</v>
      </c>
      <c r="H170" s="7" t="str">
        <f>CONCATENATE("14270303028")</f>
        <v>14270303028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 1.1 2a")</f>
        <v>1 1.1 2a</v>
      </c>
      <c r="M170" s="7" t="str">
        <f>CONCATENATE("01433820428")</f>
        <v>01433820428</v>
      </c>
      <c r="N170" s="7" t="s">
        <v>292</v>
      </c>
      <c r="O170" s="7" t="s">
        <v>293</v>
      </c>
      <c r="P170" s="8">
        <v>44509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4400</v>
      </c>
      <c r="W170" s="9">
        <v>1897.28</v>
      </c>
      <c r="X170" s="9">
        <v>1752.08</v>
      </c>
      <c r="Y170" s="7">
        <v>0</v>
      </c>
      <c r="Z170" s="7">
        <v>750.64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44072</vt:lpwstr>
  </property>
  <property fmtid="{D5CDD505-2E9C-101B-9397-08002B2CF9AE}" pid="4" name="OptimizationTime">
    <vt:lpwstr>20211215_1441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2021-12-14T14:31:27Z</dcterms:created>
  <dcterms:modified xsi:type="dcterms:W3CDTF">2021-12-14T14:32:16Z</dcterms:modified>
</cp:coreProperties>
</file>