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ople.ey.com/personal/michele_ferrazzano_it_ey_com/Documents/Desktop/LAVORO/Invio decreti/Decreto n. 499 (Anticipi 2021)/"/>
    </mc:Choice>
  </mc:AlternateContent>
  <xr:revisionPtr revIDLastSave="0" documentId="8_{56C9F2FC-4CE1-4075-83D8-C41BD3BBC4A5}" xr6:coauthVersionLast="46" xr6:coauthVersionMax="46" xr10:uidLastSave="{00000000-0000-0000-0000-000000000000}"/>
  <bookViews>
    <workbookView xWindow="-110" yWindow="-110" windowWidth="19420" windowHeight="10420" xr2:uid="{BE7BAA7B-F75B-4671-848D-C6087B187951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50" i="1" l="1"/>
  <c r="L250" i="1"/>
  <c r="K250" i="1"/>
  <c r="H250" i="1"/>
  <c r="M249" i="1"/>
  <c r="L249" i="1"/>
  <c r="K249" i="1"/>
  <c r="H249" i="1"/>
  <c r="M248" i="1"/>
  <c r="L248" i="1"/>
  <c r="K248" i="1"/>
  <c r="H248" i="1"/>
  <c r="M247" i="1"/>
  <c r="L247" i="1"/>
  <c r="K247" i="1"/>
  <c r="H247" i="1"/>
  <c r="M246" i="1"/>
  <c r="L246" i="1"/>
  <c r="K246" i="1"/>
  <c r="H246" i="1"/>
  <c r="M245" i="1"/>
  <c r="L245" i="1"/>
  <c r="K245" i="1"/>
  <c r="H245" i="1"/>
  <c r="M244" i="1"/>
  <c r="L244" i="1"/>
  <c r="K244" i="1"/>
  <c r="H244" i="1"/>
  <c r="M243" i="1"/>
  <c r="L243" i="1"/>
  <c r="K243" i="1"/>
  <c r="H243" i="1"/>
  <c r="M242" i="1"/>
  <c r="L242" i="1"/>
  <c r="K242" i="1"/>
  <c r="H242" i="1"/>
  <c r="M241" i="1"/>
  <c r="L241" i="1"/>
  <c r="K241" i="1"/>
  <c r="H241" i="1"/>
  <c r="M240" i="1"/>
  <c r="L240" i="1"/>
  <c r="K240" i="1"/>
  <c r="H240" i="1"/>
  <c r="M239" i="1"/>
  <c r="L239" i="1"/>
  <c r="K239" i="1"/>
  <c r="H239" i="1"/>
  <c r="M238" i="1"/>
  <c r="L238" i="1"/>
  <c r="K238" i="1"/>
  <c r="H238" i="1"/>
  <c r="M237" i="1"/>
  <c r="L237" i="1"/>
  <c r="K237" i="1"/>
  <c r="H237" i="1"/>
  <c r="M236" i="1"/>
  <c r="L236" i="1"/>
  <c r="K236" i="1"/>
  <c r="H236" i="1"/>
  <c r="M235" i="1"/>
  <c r="L235" i="1"/>
  <c r="K235" i="1"/>
  <c r="H235" i="1"/>
  <c r="M234" i="1"/>
  <c r="L234" i="1"/>
  <c r="K234" i="1"/>
  <c r="H234" i="1"/>
  <c r="M233" i="1"/>
  <c r="L233" i="1"/>
  <c r="K233" i="1"/>
  <c r="H233" i="1"/>
  <c r="M232" i="1"/>
  <c r="L232" i="1"/>
  <c r="K232" i="1"/>
  <c r="H232" i="1"/>
  <c r="M231" i="1"/>
  <c r="L231" i="1"/>
  <c r="K231" i="1"/>
  <c r="H231" i="1"/>
  <c r="M230" i="1"/>
  <c r="L230" i="1"/>
  <c r="K230" i="1"/>
  <c r="H230" i="1"/>
  <c r="M229" i="1"/>
  <c r="L229" i="1"/>
  <c r="K229" i="1"/>
  <c r="H229" i="1"/>
  <c r="M228" i="1"/>
  <c r="L228" i="1"/>
  <c r="K228" i="1"/>
  <c r="H228" i="1"/>
  <c r="M227" i="1"/>
  <c r="L227" i="1"/>
  <c r="K227" i="1"/>
  <c r="H227" i="1"/>
  <c r="M226" i="1"/>
  <c r="L226" i="1"/>
  <c r="K226" i="1"/>
  <c r="H226" i="1"/>
  <c r="M225" i="1"/>
  <c r="L225" i="1"/>
  <c r="K225" i="1"/>
  <c r="H225" i="1"/>
  <c r="M224" i="1"/>
  <c r="L224" i="1"/>
  <c r="K224" i="1"/>
  <c r="H224" i="1"/>
  <c r="M223" i="1"/>
  <c r="L223" i="1"/>
  <c r="K223" i="1"/>
  <c r="H223" i="1"/>
  <c r="M222" i="1"/>
  <c r="L222" i="1"/>
  <c r="K222" i="1"/>
  <c r="H222" i="1"/>
  <c r="M221" i="1"/>
  <c r="L221" i="1"/>
  <c r="K221" i="1"/>
  <c r="H221" i="1"/>
  <c r="M220" i="1"/>
  <c r="L220" i="1"/>
  <c r="K220" i="1"/>
  <c r="H220" i="1"/>
  <c r="M219" i="1"/>
  <c r="L219" i="1"/>
  <c r="K219" i="1"/>
  <c r="H219" i="1"/>
  <c r="M218" i="1"/>
  <c r="L218" i="1"/>
  <c r="K218" i="1"/>
  <c r="H218" i="1"/>
  <c r="M217" i="1"/>
  <c r="L217" i="1"/>
  <c r="K217" i="1"/>
  <c r="H217" i="1"/>
  <c r="M216" i="1"/>
  <c r="L216" i="1"/>
  <c r="K216" i="1"/>
  <c r="H216" i="1"/>
  <c r="M215" i="1"/>
  <c r="L215" i="1"/>
  <c r="K215" i="1"/>
  <c r="H215" i="1"/>
  <c r="M214" i="1"/>
  <c r="L214" i="1"/>
  <c r="K214" i="1"/>
  <c r="H214" i="1"/>
  <c r="M213" i="1"/>
  <c r="L213" i="1"/>
  <c r="K213" i="1"/>
  <c r="H213" i="1"/>
  <c r="M212" i="1"/>
  <c r="L212" i="1"/>
  <c r="K212" i="1"/>
  <c r="H212" i="1"/>
  <c r="M211" i="1"/>
  <c r="L211" i="1"/>
  <c r="K211" i="1"/>
  <c r="H211" i="1"/>
  <c r="M210" i="1"/>
  <c r="L210" i="1"/>
  <c r="K210" i="1"/>
  <c r="H210" i="1"/>
  <c r="M209" i="1"/>
  <c r="L209" i="1"/>
  <c r="K209" i="1"/>
  <c r="H209" i="1"/>
  <c r="M208" i="1"/>
  <c r="L208" i="1"/>
  <c r="K208" i="1"/>
  <c r="H208" i="1"/>
  <c r="M207" i="1"/>
  <c r="L207" i="1"/>
  <c r="K207" i="1"/>
  <c r="H207" i="1"/>
  <c r="M206" i="1"/>
  <c r="L206" i="1"/>
  <c r="K206" i="1"/>
  <c r="H206" i="1"/>
  <c r="M205" i="1"/>
  <c r="L205" i="1"/>
  <c r="K205" i="1"/>
  <c r="H205" i="1"/>
  <c r="M204" i="1"/>
  <c r="L204" i="1"/>
  <c r="K204" i="1"/>
  <c r="H204" i="1"/>
  <c r="M203" i="1"/>
  <c r="L203" i="1"/>
  <c r="K203" i="1"/>
  <c r="H203" i="1"/>
  <c r="M202" i="1"/>
  <c r="L202" i="1"/>
  <c r="K202" i="1"/>
  <c r="H202" i="1"/>
  <c r="M201" i="1"/>
  <c r="L201" i="1"/>
  <c r="K201" i="1"/>
  <c r="H201" i="1"/>
  <c r="M200" i="1"/>
  <c r="L200" i="1"/>
  <c r="K200" i="1"/>
  <c r="H200" i="1"/>
  <c r="M199" i="1"/>
  <c r="L199" i="1"/>
  <c r="K199" i="1"/>
  <c r="H199" i="1"/>
  <c r="M198" i="1"/>
  <c r="L198" i="1"/>
  <c r="K198" i="1"/>
  <c r="H198" i="1"/>
  <c r="M197" i="1"/>
  <c r="L197" i="1"/>
  <c r="K197" i="1"/>
  <c r="H197" i="1"/>
  <c r="M196" i="1"/>
  <c r="L196" i="1"/>
  <c r="K196" i="1"/>
  <c r="H196" i="1"/>
  <c r="M195" i="1"/>
  <c r="L195" i="1"/>
  <c r="K195" i="1"/>
  <c r="H195" i="1"/>
  <c r="M194" i="1"/>
  <c r="L194" i="1"/>
  <c r="K194" i="1"/>
  <c r="H194" i="1"/>
  <c r="M193" i="1"/>
  <c r="L193" i="1"/>
  <c r="K193" i="1"/>
  <c r="H193" i="1"/>
  <c r="M192" i="1"/>
  <c r="L192" i="1"/>
  <c r="K192" i="1"/>
  <c r="H192" i="1"/>
  <c r="M191" i="1"/>
  <c r="L191" i="1"/>
  <c r="K191" i="1"/>
  <c r="H191" i="1"/>
  <c r="M190" i="1"/>
  <c r="L190" i="1"/>
  <c r="K190" i="1"/>
  <c r="H190" i="1"/>
  <c r="M189" i="1"/>
  <c r="L189" i="1"/>
  <c r="K189" i="1"/>
  <c r="H189" i="1"/>
  <c r="M188" i="1"/>
  <c r="L188" i="1"/>
  <c r="K188" i="1"/>
  <c r="H188" i="1"/>
  <c r="M187" i="1"/>
  <c r="L187" i="1"/>
  <c r="K187" i="1"/>
  <c r="H187" i="1"/>
  <c r="M186" i="1"/>
  <c r="L186" i="1"/>
  <c r="K186" i="1"/>
  <c r="H186" i="1"/>
  <c r="M185" i="1"/>
  <c r="L185" i="1"/>
  <c r="K185" i="1"/>
  <c r="H185" i="1"/>
  <c r="M184" i="1"/>
  <c r="L184" i="1"/>
  <c r="K184" i="1"/>
  <c r="H184" i="1"/>
  <c r="M183" i="1"/>
  <c r="L183" i="1"/>
  <c r="K183" i="1"/>
  <c r="H183" i="1"/>
  <c r="M182" i="1"/>
  <c r="L182" i="1"/>
  <c r="K182" i="1"/>
  <c r="H182" i="1"/>
  <c r="M181" i="1"/>
  <c r="L181" i="1"/>
  <c r="K181" i="1"/>
  <c r="H181" i="1"/>
  <c r="M180" i="1"/>
  <c r="L180" i="1"/>
  <c r="K180" i="1"/>
  <c r="H180" i="1"/>
  <c r="M179" i="1"/>
  <c r="L179" i="1"/>
  <c r="K179" i="1"/>
  <c r="H179" i="1"/>
  <c r="M178" i="1"/>
  <c r="L178" i="1"/>
  <c r="K178" i="1"/>
  <c r="H178" i="1"/>
  <c r="M177" i="1"/>
  <c r="L177" i="1"/>
  <c r="K177" i="1"/>
  <c r="H177" i="1"/>
  <c r="M176" i="1"/>
  <c r="L176" i="1"/>
  <c r="K176" i="1"/>
  <c r="H176" i="1"/>
  <c r="M175" i="1"/>
  <c r="L175" i="1"/>
  <c r="K175" i="1"/>
  <c r="H175" i="1"/>
  <c r="M174" i="1"/>
  <c r="L174" i="1"/>
  <c r="K174" i="1"/>
  <c r="H174" i="1"/>
  <c r="M173" i="1"/>
  <c r="L173" i="1"/>
  <c r="K173" i="1"/>
  <c r="H173" i="1"/>
  <c r="M172" i="1"/>
  <c r="L172" i="1"/>
  <c r="K172" i="1"/>
  <c r="H172" i="1"/>
  <c r="M171" i="1"/>
  <c r="L171" i="1"/>
  <c r="K171" i="1"/>
  <c r="H171" i="1"/>
  <c r="M170" i="1"/>
  <c r="L170" i="1"/>
  <c r="K170" i="1"/>
  <c r="H170" i="1"/>
  <c r="M169" i="1"/>
  <c r="L169" i="1"/>
  <c r="K169" i="1"/>
  <c r="H169" i="1"/>
  <c r="M168" i="1"/>
  <c r="L168" i="1"/>
  <c r="K168" i="1"/>
  <c r="H168" i="1"/>
  <c r="M167" i="1"/>
  <c r="L167" i="1"/>
  <c r="K167" i="1"/>
  <c r="H167" i="1"/>
  <c r="M166" i="1"/>
  <c r="L166" i="1"/>
  <c r="K166" i="1"/>
  <c r="H166" i="1"/>
  <c r="M165" i="1"/>
  <c r="L165" i="1"/>
  <c r="K165" i="1"/>
  <c r="H165" i="1"/>
  <c r="M164" i="1"/>
  <c r="L164" i="1"/>
  <c r="K164" i="1"/>
  <c r="H164" i="1"/>
  <c r="M163" i="1"/>
  <c r="L163" i="1"/>
  <c r="K163" i="1"/>
  <c r="H163" i="1"/>
  <c r="M162" i="1"/>
  <c r="L162" i="1"/>
  <c r="K162" i="1"/>
  <c r="H162" i="1"/>
  <c r="M161" i="1"/>
  <c r="L161" i="1"/>
  <c r="K161" i="1"/>
  <c r="H161" i="1"/>
  <c r="M160" i="1"/>
  <c r="L160" i="1"/>
  <c r="K160" i="1"/>
  <c r="H160" i="1"/>
  <c r="M159" i="1"/>
  <c r="L159" i="1"/>
  <c r="K159" i="1"/>
  <c r="H159" i="1"/>
  <c r="M158" i="1"/>
  <c r="L158" i="1"/>
  <c r="K158" i="1"/>
  <c r="H158" i="1"/>
  <c r="M157" i="1"/>
  <c r="L157" i="1"/>
  <c r="K157" i="1"/>
  <c r="H157" i="1"/>
  <c r="M156" i="1"/>
  <c r="L156" i="1"/>
  <c r="K156" i="1"/>
  <c r="H156" i="1"/>
  <c r="M155" i="1"/>
  <c r="L155" i="1"/>
  <c r="K155" i="1"/>
  <c r="H155" i="1"/>
  <c r="M154" i="1"/>
  <c r="L154" i="1"/>
  <c r="K154" i="1"/>
  <c r="H154" i="1"/>
  <c r="M153" i="1"/>
  <c r="L153" i="1"/>
  <c r="K153" i="1"/>
  <c r="H153" i="1"/>
  <c r="M152" i="1"/>
  <c r="L152" i="1"/>
  <c r="K152" i="1"/>
  <c r="H152" i="1"/>
  <c r="M151" i="1"/>
  <c r="L151" i="1"/>
  <c r="K151" i="1"/>
  <c r="H151" i="1"/>
  <c r="M150" i="1"/>
  <c r="L150" i="1"/>
  <c r="K150" i="1"/>
  <c r="H150" i="1"/>
  <c r="M149" i="1"/>
  <c r="L149" i="1"/>
  <c r="K149" i="1"/>
  <c r="H149" i="1"/>
  <c r="M148" i="1"/>
  <c r="L148" i="1"/>
  <c r="K148" i="1"/>
  <c r="H148" i="1"/>
  <c r="M147" i="1"/>
  <c r="L147" i="1"/>
  <c r="K147" i="1"/>
  <c r="H147" i="1"/>
  <c r="M146" i="1"/>
  <c r="L146" i="1"/>
  <c r="K146" i="1"/>
  <c r="H146" i="1"/>
  <c r="M145" i="1"/>
  <c r="L145" i="1"/>
  <c r="K145" i="1"/>
  <c r="H145" i="1"/>
  <c r="M144" i="1"/>
  <c r="L144" i="1"/>
  <c r="K144" i="1"/>
  <c r="H144" i="1"/>
  <c r="M143" i="1"/>
  <c r="L143" i="1"/>
  <c r="K143" i="1"/>
  <c r="H143" i="1"/>
  <c r="M142" i="1"/>
  <c r="L142" i="1"/>
  <c r="K142" i="1"/>
  <c r="H142" i="1"/>
  <c r="M141" i="1"/>
  <c r="L141" i="1"/>
  <c r="K141" i="1"/>
  <c r="H141" i="1"/>
  <c r="M140" i="1"/>
  <c r="L140" i="1"/>
  <c r="K140" i="1"/>
  <c r="H140" i="1"/>
  <c r="M139" i="1"/>
  <c r="L139" i="1"/>
  <c r="K139" i="1"/>
  <c r="H139" i="1"/>
  <c r="M138" i="1"/>
  <c r="L138" i="1"/>
  <c r="K138" i="1"/>
  <c r="H138" i="1"/>
  <c r="M137" i="1"/>
  <c r="L137" i="1"/>
  <c r="K137" i="1"/>
  <c r="H137" i="1"/>
  <c r="M136" i="1"/>
  <c r="L136" i="1"/>
  <c r="K136" i="1"/>
  <c r="H136" i="1"/>
  <c r="M135" i="1"/>
  <c r="L135" i="1"/>
  <c r="K135" i="1"/>
  <c r="H135" i="1"/>
  <c r="M134" i="1"/>
  <c r="L134" i="1"/>
  <c r="K134" i="1"/>
  <c r="H134" i="1"/>
  <c r="M133" i="1"/>
  <c r="L133" i="1"/>
  <c r="K133" i="1"/>
  <c r="H133" i="1"/>
  <c r="M132" i="1"/>
  <c r="L132" i="1"/>
  <c r="K132" i="1"/>
  <c r="H132" i="1"/>
  <c r="M131" i="1"/>
  <c r="L131" i="1"/>
  <c r="K131" i="1"/>
  <c r="H131" i="1"/>
  <c r="M130" i="1"/>
  <c r="L130" i="1"/>
  <c r="K130" i="1"/>
  <c r="H130" i="1"/>
  <c r="M129" i="1"/>
  <c r="L129" i="1"/>
  <c r="K129" i="1"/>
  <c r="H129" i="1"/>
  <c r="M128" i="1"/>
  <c r="L128" i="1"/>
  <c r="K128" i="1"/>
  <c r="H128" i="1"/>
  <c r="M127" i="1"/>
  <c r="L127" i="1"/>
  <c r="K127" i="1"/>
  <c r="H127" i="1"/>
  <c r="M126" i="1"/>
  <c r="L126" i="1"/>
  <c r="K126" i="1"/>
  <c r="H126" i="1"/>
  <c r="M125" i="1"/>
  <c r="L125" i="1"/>
  <c r="K125" i="1"/>
  <c r="H125" i="1"/>
  <c r="M124" i="1"/>
  <c r="L124" i="1"/>
  <c r="K124" i="1"/>
  <c r="H124" i="1"/>
  <c r="M123" i="1"/>
  <c r="L123" i="1"/>
  <c r="K123" i="1"/>
  <c r="H123" i="1"/>
  <c r="M122" i="1"/>
  <c r="L122" i="1"/>
  <c r="K122" i="1"/>
  <c r="H122" i="1"/>
  <c r="M121" i="1"/>
  <c r="L121" i="1"/>
  <c r="K121" i="1"/>
  <c r="H121" i="1"/>
  <c r="M120" i="1"/>
  <c r="L120" i="1"/>
  <c r="K120" i="1"/>
  <c r="H120" i="1"/>
  <c r="M119" i="1"/>
  <c r="L119" i="1"/>
  <c r="K119" i="1"/>
  <c r="H119" i="1"/>
  <c r="M118" i="1"/>
  <c r="L118" i="1"/>
  <c r="K118" i="1"/>
  <c r="H118" i="1"/>
  <c r="M117" i="1"/>
  <c r="L117" i="1"/>
  <c r="K117" i="1"/>
  <c r="H117" i="1"/>
  <c r="M116" i="1"/>
  <c r="L116" i="1"/>
  <c r="K116" i="1"/>
  <c r="H116" i="1"/>
  <c r="M115" i="1"/>
  <c r="L115" i="1"/>
  <c r="K115" i="1"/>
  <c r="H115" i="1"/>
  <c r="M114" i="1"/>
  <c r="L114" i="1"/>
  <c r="K114" i="1"/>
  <c r="H114" i="1"/>
  <c r="M113" i="1"/>
  <c r="L113" i="1"/>
  <c r="K113" i="1"/>
  <c r="H113" i="1"/>
  <c r="M112" i="1"/>
  <c r="L112" i="1"/>
  <c r="K112" i="1"/>
  <c r="H112" i="1"/>
  <c r="M111" i="1"/>
  <c r="L111" i="1"/>
  <c r="K111" i="1"/>
  <c r="H111" i="1"/>
  <c r="M110" i="1"/>
  <c r="L110" i="1"/>
  <c r="K110" i="1"/>
  <c r="H110" i="1"/>
  <c r="M109" i="1"/>
  <c r="L109" i="1"/>
  <c r="K109" i="1"/>
  <c r="H109" i="1"/>
  <c r="M108" i="1"/>
  <c r="L108" i="1"/>
  <c r="K108" i="1"/>
  <c r="H108" i="1"/>
  <c r="M107" i="1"/>
  <c r="L107" i="1"/>
  <c r="K107" i="1"/>
  <c r="H107" i="1"/>
  <c r="M106" i="1"/>
  <c r="L106" i="1"/>
  <c r="K106" i="1"/>
  <c r="H106" i="1"/>
  <c r="M105" i="1"/>
  <c r="L105" i="1"/>
  <c r="K105" i="1"/>
  <c r="H105" i="1"/>
  <c r="M104" i="1"/>
  <c r="L104" i="1"/>
  <c r="K104" i="1"/>
  <c r="H104" i="1"/>
  <c r="M103" i="1"/>
  <c r="L103" i="1"/>
  <c r="K103" i="1"/>
  <c r="H103" i="1"/>
  <c r="M102" i="1"/>
  <c r="L102" i="1"/>
  <c r="K102" i="1"/>
  <c r="H102" i="1"/>
  <c r="M101" i="1"/>
  <c r="L101" i="1"/>
  <c r="K101" i="1"/>
  <c r="H101" i="1"/>
  <c r="M100" i="1"/>
  <c r="L100" i="1"/>
  <c r="K100" i="1"/>
  <c r="H100" i="1"/>
  <c r="M99" i="1"/>
  <c r="L99" i="1"/>
  <c r="K99" i="1"/>
  <c r="H99" i="1"/>
  <c r="M98" i="1"/>
  <c r="L98" i="1"/>
  <c r="K98" i="1"/>
  <c r="H98" i="1"/>
  <c r="M97" i="1"/>
  <c r="L97" i="1"/>
  <c r="K97" i="1"/>
  <c r="H97" i="1"/>
  <c r="M96" i="1"/>
  <c r="L96" i="1"/>
  <c r="K96" i="1"/>
  <c r="H96" i="1"/>
  <c r="M95" i="1"/>
  <c r="L95" i="1"/>
  <c r="K95" i="1"/>
  <c r="H95" i="1"/>
  <c r="M94" i="1"/>
  <c r="L94" i="1"/>
  <c r="K94" i="1"/>
  <c r="H94" i="1"/>
  <c r="M93" i="1"/>
  <c r="L93" i="1"/>
  <c r="K93" i="1"/>
  <c r="H93" i="1"/>
  <c r="M92" i="1"/>
  <c r="L92" i="1"/>
  <c r="K92" i="1"/>
  <c r="H92" i="1"/>
  <c r="M91" i="1"/>
  <c r="L91" i="1"/>
  <c r="K91" i="1"/>
  <c r="H91" i="1"/>
  <c r="M90" i="1"/>
  <c r="L90" i="1"/>
  <c r="K90" i="1"/>
  <c r="H90" i="1"/>
  <c r="M89" i="1"/>
  <c r="L89" i="1"/>
  <c r="K89" i="1"/>
  <c r="H89" i="1"/>
  <c r="M88" i="1"/>
  <c r="L88" i="1"/>
  <c r="K88" i="1"/>
  <c r="H88" i="1"/>
  <c r="M87" i="1"/>
  <c r="L87" i="1"/>
  <c r="K87" i="1"/>
  <c r="H87" i="1"/>
  <c r="M86" i="1"/>
  <c r="L86" i="1"/>
  <c r="K86" i="1"/>
  <c r="H86" i="1"/>
  <c r="M85" i="1"/>
  <c r="L85" i="1"/>
  <c r="K85" i="1"/>
  <c r="H85" i="1"/>
  <c r="M84" i="1"/>
  <c r="L84" i="1"/>
  <c r="K84" i="1"/>
  <c r="H84" i="1"/>
  <c r="M83" i="1"/>
  <c r="L83" i="1"/>
  <c r="K83" i="1"/>
  <c r="H83" i="1"/>
  <c r="M82" i="1"/>
  <c r="L82" i="1"/>
  <c r="K82" i="1"/>
  <c r="H82" i="1"/>
  <c r="M81" i="1"/>
  <c r="L81" i="1"/>
  <c r="K81" i="1"/>
  <c r="H81" i="1"/>
  <c r="M80" i="1"/>
  <c r="L80" i="1"/>
  <c r="K80" i="1"/>
  <c r="H80" i="1"/>
  <c r="M79" i="1"/>
  <c r="L79" i="1"/>
  <c r="K79" i="1"/>
  <c r="H79" i="1"/>
  <c r="M78" i="1"/>
  <c r="L78" i="1"/>
  <c r="K78" i="1"/>
  <c r="H78" i="1"/>
  <c r="M77" i="1"/>
  <c r="L77" i="1"/>
  <c r="K77" i="1"/>
  <c r="H77" i="1"/>
  <c r="M76" i="1"/>
  <c r="L76" i="1"/>
  <c r="K76" i="1"/>
  <c r="H76" i="1"/>
  <c r="M75" i="1"/>
  <c r="L75" i="1"/>
  <c r="K75" i="1"/>
  <c r="H75" i="1"/>
  <c r="M74" i="1"/>
  <c r="L74" i="1"/>
  <c r="K74" i="1"/>
  <c r="H74" i="1"/>
  <c r="M73" i="1"/>
  <c r="L73" i="1"/>
  <c r="K73" i="1"/>
  <c r="H73" i="1"/>
  <c r="M72" i="1"/>
  <c r="L72" i="1"/>
  <c r="K72" i="1"/>
  <c r="H72" i="1"/>
  <c r="M71" i="1"/>
  <c r="L71" i="1"/>
  <c r="K71" i="1"/>
  <c r="H71" i="1"/>
  <c r="M70" i="1"/>
  <c r="L70" i="1"/>
  <c r="K70" i="1"/>
  <c r="H70" i="1"/>
  <c r="M69" i="1"/>
  <c r="L69" i="1"/>
  <c r="K69" i="1"/>
  <c r="H69" i="1"/>
  <c r="M68" i="1"/>
  <c r="L68" i="1"/>
  <c r="K68" i="1"/>
  <c r="H68" i="1"/>
  <c r="M67" i="1"/>
  <c r="L67" i="1"/>
  <c r="K67" i="1"/>
  <c r="H67" i="1"/>
  <c r="M66" i="1"/>
  <c r="L66" i="1"/>
  <c r="K66" i="1"/>
  <c r="H66" i="1"/>
  <c r="M65" i="1"/>
  <c r="L65" i="1"/>
  <c r="K65" i="1"/>
  <c r="H65" i="1"/>
  <c r="M64" i="1"/>
  <c r="L64" i="1"/>
  <c r="K64" i="1"/>
  <c r="H64" i="1"/>
  <c r="M63" i="1"/>
  <c r="L63" i="1"/>
  <c r="K63" i="1"/>
  <c r="H63" i="1"/>
  <c r="M62" i="1"/>
  <c r="L62" i="1"/>
  <c r="K62" i="1"/>
  <c r="H62" i="1"/>
  <c r="M61" i="1"/>
  <c r="L61" i="1"/>
  <c r="K61" i="1"/>
  <c r="H61" i="1"/>
  <c r="M60" i="1"/>
  <c r="L60" i="1"/>
  <c r="K60" i="1"/>
  <c r="H60" i="1"/>
  <c r="M59" i="1"/>
  <c r="L59" i="1"/>
  <c r="K59" i="1"/>
  <c r="H59" i="1"/>
  <c r="M58" i="1"/>
  <c r="L58" i="1"/>
  <c r="K58" i="1"/>
  <c r="H58" i="1"/>
  <c r="M57" i="1"/>
  <c r="L57" i="1"/>
  <c r="K57" i="1"/>
  <c r="H57" i="1"/>
  <c r="M56" i="1"/>
  <c r="L56" i="1"/>
  <c r="K56" i="1"/>
  <c r="H56" i="1"/>
  <c r="M55" i="1"/>
  <c r="L55" i="1"/>
  <c r="K55" i="1"/>
  <c r="H55" i="1"/>
  <c r="M54" i="1"/>
  <c r="L54" i="1"/>
  <c r="K54" i="1"/>
  <c r="H54" i="1"/>
  <c r="M53" i="1"/>
  <c r="L53" i="1"/>
  <c r="K53" i="1"/>
  <c r="H53" i="1"/>
  <c r="M52" i="1"/>
  <c r="L52" i="1"/>
  <c r="K52" i="1"/>
  <c r="H52" i="1"/>
  <c r="M51" i="1"/>
  <c r="L51" i="1"/>
  <c r="K51" i="1"/>
  <c r="H51" i="1"/>
  <c r="M50" i="1"/>
  <c r="L50" i="1"/>
  <c r="K50" i="1"/>
  <c r="H50" i="1"/>
  <c r="M49" i="1"/>
  <c r="L49" i="1"/>
  <c r="K49" i="1"/>
  <c r="H49" i="1"/>
  <c r="M48" i="1"/>
  <c r="L48" i="1"/>
  <c r="K48" i="1"/>
  <c r="H48" i="1"/>
  <c r="M47" i="1"/>
  <c r="L47" i="1"/>
  <c r="K47" i="1"/>
  <c r="H47" i="1"/>
  <c r="M46" i="1"/>
  <c r="L46" i="1"/>
  <c r="K46" i="1"/>
  <c r="H46" i="1"/>
  <c r="M45" i="1"/>
  <c r="L45" i="1"/>
  <c r="K45" i="1"/>
  <c r="H45" i="1"/>
  <c r="M44" i="1"/>
  <c r="L44" i="1"/>
  <c r="K44" i="1"/>
  <c r="H44" i="1"/>
  <c r="M43" i="1"/>
  <c r="L43" i="1"/>
  <c r="K43" i="1"/>
  <c r="H43" i="1"/>
  <c r="M42" i="1"/>
  <c r="L42" i="1"/>
  <c r="K42" i="1"/>
  <c r="H42" i="1"/>
  <c r="M41" i="1"/>
  <c r="L41" i="1"/>
  <c r="K41" i="1"/>
  <c r="H41" i="1"/>
  <c r="M40" i="1"/>
  <c r="L40" i="1"/>
  <c r="K40" i="1"/>
  <c r="H40" i="1"/>
  <c r="M39" i="1"/>
  <c r="L39" i="1"/>
  <c r="K39" i="1"/>
  <c r="H39" i="1"/>
  <c r="M38" i="1"/>
  <c r="L38" i="1"/>
  <c r="K38" i="1"/>
  <c r="H38" i="1"/>
  <c r="M37" i="1"/>
  <c r="L37" i="1"/>
  <c r="K37" i="1"/>
  <c r="H37" i="1"/>
  <c r="M36" i="1"/>
  <c r="L36" i="1"/>
  <c r="K36" i="1"/>
  <c r="H36" i="1"/>
  <c r="M35" i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<sst xmlns="http://schemas.openxmlformats.org/spreadsheetml/2006/main" count="3238" uniqueCount="339">
  <si>
    <t>Dettaglio Domande Pagabili Decreto 499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</si>
  <si>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</si>
  <si>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</si>
  <si>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</si>
  <si>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</si>
  <si>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</si>
  <si>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</si>
  <si>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</si>
  <si>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</si>
  <si>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</si>
  <si>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</si>
  <si>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</si>
  <si>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</si>
  <si>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</si>
  <si>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</si>
  <si>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</si>
  <si>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</si>
  <si>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</si>
  <si>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</si>
  <si>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</si>
  <si>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</si>
  <si>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Tipologia di Strumento Finanziario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</si>
  <si>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</si>
  <si>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</si>
  <si>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</si>
  <si>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</si>
  <si>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</si>
  <si>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</si>
  <si>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a Superficie</t>
  </si>
  <si>
    <t>NO</t>
  </si>
  <si>
    <t>Nuova Programmazione</t>
  </si>
  <si>
    <t>In Liquidazione</t>
  </si>
  <si>
    <t>Anticipo</t>
  </si>
  <si>
    <t>Co-Finanziato</t>
  </si>
  <si>
    <t>Ordinario</t>
  </si>
  <si>
    <t>CAA Confagricoltura srl</t>
  </si>
  <si>
    <t>CAA Coldiretti srl</t>
  </si>
  <si>
    <t>CAA LiberiAgricoltori srl già CAA AGCI srl</t>
  </si>
  <si>
    <t>CAA CIA srl</t>
  </si>
  <si>
    <t>SI</t>
  </si>
  <si>
    <t>CAA-CAF AGRI S.R.L.</t>
  </si>
  <si>
    <t>CAA UNSIC s.r.l.</t>
  </si>
  <si>
    <t>CAA UNICAA srl</t>
  </si>
  <si>
    <t>CAA AGRISERVIZI s.r.l.</t>
  </si>
  <si>
    <t>IN PROPRIO</t>
  </si>
  <si>
    <t>CAA LiberiAgricoltori - MACERATA - 001</t>
  </si>
  <si>
    <t>CAA CIA - MACERATA - 001</t>
  </si>
  <si>
    <t>CAA Confagricoltura - ASCOLI PICENO - 001</t>
  </si>
  <si>
    <t>CAA Coldiretti - MACERATA - 002</t>
  </si>
  <si>
    <t>CAA Confagricoltura - ANCONA - 001</t>
  </si>
  <si>
    <t>DE SANTIS ANGELO</t>
  </si>
  <si>
    <t>DE ANGELIS PAOLO</t>
  </si>
  <si>
    <t>CAA Coldiretti - MACERATA - 017</t>
  </si>
  <si>
    <t>CAA LiberiAgricoltori - MACERATA - 003</t>
  </si>
  <si>
    <t>MARCHE</t>
  </si>
  <si>
    <t>SERV. DEC. AGRICOLTURA E ALIM. -ASCOLI PICENO</t>
  </si>
  <si>
    <t>CAA Coldiretti - FERMO - 001</t>
  </si>
  <si>
    <t>POLINI SANDRO</t>
  </si>
  <si>
    <t>FEDERICI LAURA</t>
  </si>
  <si>
    <t>STOPPO HERMES</t>
  </si>
  <si>
    <t>GEMINIANI PIERO</t>
  </si>
  <si>
    <t>BAGALINI SAURO</t>
  </si>
  <si>
    <t>MICCIO GIUSEPPE</t>
  </si>
  <si>
    <t>CARLINI DANILO</t>
  </si>
  <si>
    <t>MAZZONI MAURIZIO</t>
  </si>
  <si>
    <t>EUSEBI MASSIMILIANO</t>
  </si>
  <si>
    <t>MAZZONI STEFANO</t>
  </si>
  <si>
    <t>MASTROSANI CHIARA</t>
  </si>
  <si>
    <t>BELLEGGIA GIORGIO</t>
  </si>
  <si>
    <t>ANGELINI MARIO</t>
  </si>
  <si>
    <t>TEMPESTILLI QUINTO</t>
  </si>
  <si>
    <t>CAA CIA - ASCOLI PICENO - 006</t>
  </si>
  <si>
    <t>ISIDORI GIULIANA</t>
  </si>
  <si>
    <t>DE ANGELIS EMILIO E GIUSEPPE SOC. SEMPLICE</t>
  </si>
  <si>
    <t>FRUTTAMI DI MASTROSANI FABIO E FELICE SOCIETA' SEMPLICE AGRICOLA</t>
  </si>
  <si>
    <t>MICCIO DIEGO</t>
  </si>
  <si>
    <t>AZIENDA AGRICOLA CONCETTI BRUNO E SERGIO</t>
  </si>
  <si>
    <t>MECOZZI ENZO</t>
  </si>
  <si>
    <t>PULCINI ARDUINO</t>
  </si>
  <si>
    <t>CAA UNICAA - ASCOLI PICENO - 004</t>
  </si>
  <si>
    <t>CAPRIOTTI GABRIELE</t>
  </si>
  <si>
    <t>CAA CAF AGRI - FERMO - 222</t>
  </si>
  <si>
    <t>PASQUALINI MARCO</t>
  </si>
  <si>
    <t>CAA CIA - ASCOLI PICENO - 001</t>
  </si>
  <si>
    <t>FACT S.S. SOCIETA' AGRICOLA</t>
  </si>
  <si>
    <t>PASQUALINI ARISTIDE</t>
  </si>
  <si>
    <t>NESPECA GIOVANNI</t>
  </si>
  <si>
    <t>MANNOCCHI ANNIBALE</t>
  </si>
  <si>
    <t>MERCURI FRANCESCA SOCIETA' SEMPLICE AGRICOLA</t>
  </si>
  <si>
    <t>MICCIO ROBERTO</t>
  </si>
  <si>
    <t>AMELI GABRIELE</t>
  </si>
  <si>
    <t>DAMIANI PASQUALINO</t>
  </si>
  <si>
    <t>CAPECCI FLORIANA</t>
  </si>
  <si>
    <t>ACCIARRI BRUNO</t>
  </si>
  <si>
    <t>LANCIOTTI DORIANA</t>
  </si>
  <si>
    <t>LANCIOTTI LUCIA</t>
  </si>
  <si>
    <t>GIULIANI MIRKO</t>
  </si>
  <si>
    <t>SCENDONI GIOVANNI</t>
  </si>
  <si>
    <t>TOMASSINI GIANPIETRO</t>
  </si>
  <si>
    <t>GIULIANI FRANCO E LEONELLO S.S.</t>
  </si>
  <si>
    <t>VAGNONI GIANFRANCO</t>
  </si>
  <si>
    <t>GEMINIANI PIO</t>
  </si>
  <si>
    <t>PIERAGOSTINI GIOVANNI</t>
  </si>
  <si>
    <t>"AZIENDA AGRICOLA CRUCIANO" DI VILLA PATRIZIO E NORIS S.S.</t>
  </si>
  <si>
    <t>MALVASIA SOCIETA' SEMPLICE DI GARBINI PAOLO,PIOTTI ANGIOLINA E VELENOS</t>
  </si>
  <si>
    <t>VITTORI ENRICO</t>
  </si>
  <si>
    <t>SOC. AGR. I SAPORI DEI MONTI DI CIARROCCHI MARIO E SERENELLA SOCIETA'</t>
  </si>
  <si>
    <t>MAZZONI ARNALDO</t>
  </si>
  <si>
    <t>CAA Coldiretti - ASCOLI PICENO - 010</t>
  </si>
  <si>
    <t>SCARAMUCCI OTTAVIO</t>
  </si>
  <si>
    <t>SOCIETA' AGRICOLA MARCOVERDE SRL</t>
  </si>
  <si>
    <t>LOBATO GLADYS</t>
  </si>
  <si>
    <t>MICHELI MARCO</t>
  </si>
  <si>
    <t>CAA Coldiretti - ASCOLI PICENO - 040</t>
  </si>
  <si>
    <t>CARLINI MARCO</t>
  </si>
  <si>
    <t>OCCHIODORO VINCENZO</t>
  </si>
  <si>
    <t>CURTI RICCARDO</t>
  </si>
  <si>
    <t>GOBBI LORENZO</t>
  </si>
  <si>
    <t>SERV. DEC. AGRICOLTURA E ALIMENTAZIONE - PESARO</t>
  </si>
  <si>
    <t>CAA Coldiretti - PESARO E URBINO - 007</t>
  </si>
  <si>
    <t>MAFFEI WALTER</t>
  </si>
  <si>
    <t>AMABILI FRANCO</t>
  </si>
  <si>
    <t>SERV. DEC. AGRICOLTURA E ALIMENTAZIONE - ANCONA</t>
  </si>
  <si>
    <t>CAA CIA - ANCONA - 005</t>
  </si>
  <si>
    <t>GAMBONI CLAUDIA</t>
  </si>
  <si>
    <t>CAA LiberiAgricoltori - PESARO E URBINO - 002</t>
  </si>
  <si>
    <t>PISCIOLINI LUCA</t>
  </si>
  <si>
    <t>CAA Coldiretti - PESARO E URBINO - 013</t>
  </si>
  <si>
    <t>PAGINI SIMONA</t>
  </si>
  <si>
    <t>MIRCOLI ANDREA</t>
  </si>
  <si>
    <t>GHIMIS DUMITRESCU MIRELA</t>
  </si>
  <si>
    <t>CAA CAF AGRI - ANCONA - 225</t>
  </si>
  <si>
    <t>SOCIETA' AGRICOLA SANDRONI S.S.</t>
  </si>
  <si>
    <t>CAA Coldiretti - PESARO E URBINO - 001</t>
  </si>
  <si>
    <t>TRAVAGLIATI GIUSEPPE</t>
  </si>
  <si>
    <t>CAA CIA - ANCONA - 002</t>
  </si>
  <si>
    <t>DOTTORI EDOARDO</t>
  </si>
  <si>
    <t>CAA Coldiretti - ANCONA - 006</t>
  </si>
  <si>
    <t>SOCIETA' AGRICOLA LE CANTINE DEL CARDINALE DI CARDINALI GISELLE E C. S</t>
  </si>
  <si>
    <t>SERV. DEC. AGRICOLTURA E ALIM. - MACERATA</t>
  </si>
  <si>
    <t>SCOLASTICI MARCO</t>
  </si>
  <si>
    <t>TADDEI FAUSTO</t>
  </si>
  <si>
    <t>ROSA MAURO</t>
  </si>
  <si>
    <t>AMICI MARIA GIUSEPPINA</t>
  </si>
  <si>
    <t>CAA CIA - PESARO E URBINO - 007</t>
  </si>
  <si>
    <t>RAVAIOLI MIRCO</t>
  </si>
  <si>
    <t>AUSTRALI SOCIETA' SEMPLICE AGRICOLA DI GAGLIARDINI STEFANO E BINI MARC</t>
  </si>
  <si>
    <t>AZIENDA AGRARIA DELL'ISTITUTO TECNICO AGRARIO STATALE</t>
  </si>
  <si>
    <t>CAA Coldiretti - ANCONA - 003</t>
  </si>
  <si>
    <t>UBERTINI PIERINO</t>
  </si>
  <si>
    <t>SOCIETA' SEMPLICE AGRICOLA CERESOLANA DI CATUCCI DANILO ANTONIO E CURA</t>
  </si>
  <si>
    <t>CAA LiberiAgricoltori - MACERATA - 005</t>
  </si>
  <si>
    <t>LAPPONI BARBARA</t>
  </si>
  <si>
    <t>SEBASTIANI MASSIMILIANO</t>
  </si>
  <si>
    <t>FATTORINI PAOLA</t>
  </si>
  <si>
    <t>ZANOTTA MARIA ALESSANDRA</t>
  </si>
  <si>
    <t>CAA CAF AGRI - ANCONA - 224</t>
  </si>
  <si>
    <t>PONTE PIO SRL</t>
  </si>
  <si>
    <t>CAA Confagricoltura - MACERATA - 001</t>
  </si>
  <si>
    <t>CAPONE VINCENZINO</t>
  </si>
  <si>
    <t>ALLEVATORI E PRODUTTORI DI MONTELAGO SOC. COOP. AGRICOLA</t>
  </si>
  <si>
    <t>PODERE LA CACCETTA SOCIETA' AGRICOLA SEMPLICE</t>
  </si>
  <si>
    <t>DELLACASA GIOVANNI</t>
  </si>
  <si>
    <t>CAA CAF AGRI - MACERATA - 223</t>
  </si>
  <si>
    <t>BELARDINI MILIANO E FRANCESCO SOC.SEMP.</t>
  </si>
  <si>
    <t>CAA UNICAA - ANCONA - 003</t>
  </si>
  <si>
    <t>ANGELINI ANDREA</t>
  </si>
  <si>
    <t>CAA Coldiretti - MACERATA - 009</t>
  </si>
  <si>
    <t>SOCIETA' AGRICOLA TERRE DELLA SERRA S.A.S. DI LUCIA LUCCERINI</t>
  </si>
  <si>
    <t>CAA Coldiretti - ANCONA - 002</t>
  </si>
  <si>
    <t>BIOCCO MARIA</t>
  </si>
  <si>
    <t>CAA UNICAA - MACERATA - 002</t>
  </si>
  <si>
    <t>BENEDETTI RICCARDO</t>
  </si>
  <si>
    <t>AURELI MACCARIO</t>
  </si>
  <si>
    <t>DURO FRANCA</t>
  </si>
  <si>
    <t>RIZZONI LORENZO</t>
  </si>
  <si>
    <t>SOCIETA' AGRICOLA LA CARDA SRL</t>
  </si>
  <si>
    <t>ROMITELLI FAUSTO</t>
  </si>
  <si>
    <t>POCOGNOLI RENATO</t>
  </si>
  <si>
    <t>CAPRIOTTI CLAUDIO</t>
  </si>
  <si>
    <t>SOCIETA' AGRICOLA CALANDRINI MARIO E BAZZUCCHI GRAZIELLA S.S.</t>
  </si>
  <si>
    <t>SOCIETA' AGRICOLA VALLONGA S.S.</t>
  </si>
  <si>
    <t>GRAZIOSI GIACOMO</t>
  </si>
  <si>
    <t>LANZILLOTTI PALMA</t>
  </si>
  <si>
    <t>CAA Coldiretti - MACERATA - 007</t>
  </si>
  <si>
    <t>FERRARI CRISTIANA PATRIZIA</t>
  </si>
  <si>
    <t>POCOGNOLI REMIGIO</t>
  </si>
  <si>
    <t>SOCIETA' AGRICOLA IL TRIBBIO S.S.</t>
  </si>
  <si>
    <t>FECCHI ALESSIO</t>
  </si>
  <si>
    <t>SOCIETA AGRICOLA AGRIBAU S.S.</t>
  </si>
  <si>
    <t>SOCIETA' AGRICOLA COLLE CASINI CORTESI DI DIGNANI MATTEO &amp; C. S.S.</t>
  </si>
  <si>
    <t>SOCIETA' AGRICOLA TODO S.S.</t>
  </si>
  <si>
    <t>SOCIETA AGRICOLA FORESTERIA S.OLIVIERO S.S.</t>
  </si>
  <si>
    <t>CAA CAF AGRI - MACERATA - 224</t>
  </si>
  <si>
    <t>CASTELLANI LEONARDO</t>
  </si>
  <si>
    <t>SALTAMARTINI CATERINA</t>
  </si>
  <si>
    <t>AGRIPOMPEI SOC. AGRICOLA S.S.</t>
  </si>
  <si>
    <t>VIOSA SOCIETA AGRICOLA SEMPLICE</t>
  </si>
  <si>
    <t>CAA Coldiretti - MACERATA - 008</t>
  </si>
  <si>
    <t>CAMBERTONI DENISE</t>
  </si>
  <si>
    <t>AGRO-FORESTALE FONTI VALLEBONA SAS DI ANTONELLI LUCA E C</t>
  </si>
  <si>
    <t>DELL'UOMO ALBERTO</t>
  </si>
  <si>
    <t>CAA CIA - ANCONA - 001</t>
  </si>
  <si>
    <t>DOPPIERI CRISTIANA</t>
  </si>
  <si>
    <t>CAA UNSIC - ASCOLI PICENO - 001</t>
  </si>
  <si>
    <t>GASPERI SANDRA</t>
  </si>
  <si>
    <t>TOTTI MARCO</t>
  </si>
  <si>
    <t>CAA CIA - ANCONA - 004</t>
  </si>
  <si>
    <t>AIOMA ASSOCIAZIONE INTERREGIONALE OLIVICOLA MEDIO ADRIATICO SOCIETA' C</t>
  </si>
  <si>
    <t>SOCIETA' AGRICOLA CASTELROSINO DI PREMARINI E CANTALUPO SOCIETA' SEMPL</t>
  </si>
  <si>
    <t>COSTANTINI LUIGINO</t>
  </si>
  <si>
    <t>SOCIETA' AGRICOLA LA CASA ROSA DI CESARONI MARCO &amp; C. S.S.</t>
  </si>
  <si>
    <t>CALANDRINI LAURA</t>
  </si>
  <si>
    <t>SOCIETA' AGRICOLA FILENI SRL</t>
  </si>
  <si>
    <t>CAA CIA - PESARO E URBINO - 005</t>
  </si>
  <si>
    <t>FOCACETTI MICHELE</t>
  </si>
  <si>
    <t>CRISTOFANELLI BROGLIO RAINALDI ALESSANDRA</t>
  </si>
  <si>
    <t>CAA Coldiretti - MACERATA - 010</t>
  </si>
  <si>
    <t>AZIENDA AGRARIA ISTITUTO TECNICO AGRARIO I. I. S. G. GARIBALDI MACERAT</t>
  </si>
  <si>
    <t>CAMBORATA MARTA</t>
  </si>
  <si>
    <t>CAA Coldiretti - ANCONA - 001</t>
  </si>
  <si>
    <t>MARINI PAOLO</t>
  </si>
  <si>
    <t>CAA Coldiretti - ANCONA - 005</t>
  </si>
  <si>
    <t>BUCARI GIANCARLO</t>
  </si>
  <si>
    <t>BRANDONI ALESSIO</t>
  </si>
  <si>
    <t>JORGENSEN SARAH</t>
  </si>
  <si>
    <t>PAZZAGLIA RICCARDO</t>
  </si>
  <si>
    <t>ZACCAGNINI ROSELLA</t>
  </si>
  <si>
    <t>GABRIELLI LORENZO</t>
  </si>
  <si>
    <t>TRAVAGLIATI ROBERTO</t>
  </si>
  <si>
    <t>MONTALBINI MARINO</t>
  </si>
  <si>
    <t>ANGELONI PAOLO</t>
  </si>
  <si>
    <t>PACIAROTTI MATTEO</t>
  </si>
  <si>
    <t>MOGLIANI PINA</t>
  </si>
  <si>
    <t>C.B.M. SOCIETA' AGRICOLA A R.L.</t>
  </si>
  <si>
    <t>CAA Coldiretti - MACERATA - 018</t>
  </si>
  <si>
    <t>MALGRANDE MARCO</t>
  </si>
  <si>
    <t>SALTALAMACCHIA LUCIA</t>
  </si>
  <si>
    <t>GOBBI UMBERTO</t>
  </si>
  <si>
    <t>CAA CAF AGRI - ASCOLI PICENO - 223</t>
  </si>
  <si>
    <t>PIERMATTEI JURI</t>
  </si>
  <si>
    <t>SOCIETA' AGRICOLA LICIA S.S.</t>
  </si>
  <si>
    <t>IL SALICE FIORITO DI PAOLA E FRANCESCO SOCIETA' AGRICOLA S. S.</t>
  </si>
  <si>
    <t>SOCIETA' AGR. IL CONVENTINO DI MONTECICCARDO SAS DI MARCANTO</t>
  </si>
  <si>
    <t>ROSSI LUCA</t>
  </si>
  <si>
    <t>FEDERICI BERNARDO</t>
  </si>
  <si>
    <t>CANDELARESI CARLO</t>
  </si>
  <si>
    <t>SOCIETA' AGRICOLA LA ZAPPA SUI PIEDI S.S.</t>
  </si>
  <si>
    <t>AZIENDA AGRICOLA FIENAROLO DI BASSETTI JACOPO E BASSETTI NAZZARENO SOC</t>
  </si>
  <si>
    <t>ROMITELLI GIACOMO</t>
  </si>
  <si>
    <t>CIPRIANI MARISA</t>
  </si>
  <si>
    <t>LUCANGELI VINCENZO</t>
  </si>
  <si>
    <t>MORLACCA ERRI</t>
  </si>
  <si>
    <t>ANIBALDI CINZIA</t>
  </si>
  <si>
    <t>BRAVI PAOLA</t>
  </si>
  <si>
    <t>MORETTI MORENO</t>
  </si>
  <si>
    <t>SIQUINI QUINTILIO</t>
  </si>
  <si>
    <t>ROSSI VALENTINA</t>
  </si>
  <si>
    <t>VIRGILI FRANCO</t>
  </si>
  <si>
    <t>SABBATINI SILVIA</t>
  </si>
  <si>
    <t>FERRANTI MARIA</t>
  </si>
  <si>
    <t>GENTILOTTI GIUSEPPE</t>
  </si>
  <si>
    <t>CAA CIA - ASCOLI PICENO - 002</t>
  </si>
  <si>
    <t>DE CAROLIS TIZIANO</t>
  </si>
  <si>
    <t>PESARESI CLARA</t>
  </si>
  <si>
    <t>VOLPONI VANNI</t>
  </si>
  <si>
    <t>CRUCIANI ALBERTO</t>
  </si>
  <si>
    <t>GRACIOTTI LUCIO</t>
  </si>
  <si>
    <t>EGIDI SERGIO</t>
  </si>
  <si>
    <t>AZIENDA AGRICOLA ROVEGLIANO SOCIETA' SEMPLICE AGRICOLA DI MARASCA LUCA</t>
  </si>
  <si>
    <t>PALAZZETTI GIOVANNA</t>
  </si>
  <si>
    <t>BIANCHELLA MARCELLO</t>
  </si>
  <si>
    <t>CAA Coldiretti - ANCONA - 008</t>
  </si>
  <si>
    <t>BENIGNI FRANCESCO</t>
  </si>
  <si>
    <t>FIORETTI ALBERTO</t>
  </si>
  <si>
    <t>AZIENDA DEL CARMINE SOCIETA' SEMPLICE</t>
  </si>
  <si>
    <t>LA TENUTA DI MATTIA SOCIETA' SEMPLICE AGROFORESTALE DI FORMENTINI IVAN</t>
  </si>
  <si>
    <t>CERIONI CRISTINA</t>
  </si>
  <si>
    <t>MARCHESINI MONIA</t>
  </si>
  <si>
    <t>VICARI SOCIETA' SEMPLICE AGRICOLA DI VICARI NAZZARENO, VICO E VALENTIN</t>
  </si>
  <si>
    <t>SOCIETA' AGRICOLA PASQUINELLI ENNIO S.R.L.</t>
  </si>
  <si>
    <t>CAA CIA - PESARO E URBINO - 002</t>
  </si>
  <si>
    <t>SOCIETA' AGRICOLA "AZIENDA AGRICOLA F.LLI RINOLFI"</t>
  </si>
  <si>
    <t>AZIENDA SPECIALE CONSORZIALE DEL CATRIA</t>
  </si>
  <si>
    <t>MORICONI ALFONSO</t>
  </si>
  <si>
    <t>MAURIZI MARIA LUISA</t>
  </si>
  <si>
    <t>AGOSTINI GIOVANNI</t>
  </si>
  <si>
    <t>COLA GIANNI</t>
  </si>
  <si>
    <t>MANIERI DAVIDE</t>
  </si>
  <si>
    <t>SOCIETA' AGRICOLA MOSCI PAOLO-ROBERTO-LORENZO SOCIETA' SEMPLICE</t>
  </si>
  <si>
    <t>SILVERI LUCA</t>
  </si>
  <si>
    <t>CAA Coldiretti - PESARO E URBINO - 006</t>
  </si>
  <si>
    <t>ARE AGRICOLTURA SOCIETA' SEMPLICE AGRICOLA DI DE STEFANO GIOVANNA E C.</t>
  </si>
  <si>
    <t>CAA CAF AGRI - ANCONA - 221</t>
  </si>
  <si>
    <t>GIANNINI GIORGIO</t>
  </si>
  <si>
    <t>DELLA MORA DAVID</t>
  </si>
  <si>
    <t>CURI MAURIZIO</t>
  </si>
  <si>
    <t>PICIOTTI IACOPO</t>
  </si>
  <si>
    <t>CAA AGRISERVIZI - LATINA - 001</t>
  </si>
  <si>
    <t>CROCI ISOLINA</t>
  </si>
  <si>
    <t>ROSELLI DANIELE</t>
  </si>
  <si>
    <t>HORBATA MARIIA</t>
  </si>
  <si>
    <t>GEMINIANI LETIZIA</t>
  </si>
  <si>
    <t>LAURENZI MAURIZIO</t>
  </si>
  <si>
    <t>TRAINI GRAZIELLA</t>
  </si>
  <si>
    <t>AZIENDA AGRARIA ANTINORI MARIA E ANTINORI GRAZIELLA SOCIET? SEMPLICE S</t>
  </si>
  <si>
    <t>BUGATTI ROBERTO</t>
  </si>
  <si>
    <t>CAA UNICAA - ASCOLI PICENO - 003</t>
  </si>
  <si>
    <t>PACIONI BARBARA</t>
  </si>
  <si>
    <t>VAGNONI LILIANA</t>
  </si>
  <si>
    <t>CAMAIANI PIETRO PAOLO</t>
  </si>
  <si>
    <t>CAA CIA - ASCOLI PICENO - 004</t>
  </si>
  <si>
    <t>FILIPPOLI DAVIDE</t>
  </si>
  <si>
    <t>CAPPELLI ANNA</t>
  </si>
  <si>
    <t>RAFFEINER JACOB</t>
  </si>
  <si>
    <t>PARIS MICHELA</t>
  </si>
  <si>
    <t>CARTECHINI ROSELLA</t>
  </si>
  <si>
    <t>SOCIETA' AGRICOLA L'ULIVETO DI BIANCHI DIEGO E C. S.S</t>
  </si>
  <si>
    <t>FACEN ALESSANDRO</t>
  </si>
  <si>
    <t>PIERONI FRANCESCO</t>
  </si>
  <si>
    <t>CARDI TERESA</t>
  </si>
  <si>
    <t>SOCIETA' AGRICOLA ROSASPINA S.S.</t>
  </si>
  <si>
    <t>ALEOTTI GIOVAN BATTISTA</t>
  </si>
  <si>
    <t>CARDUCCI MARIO</t>
  </si>
  <si>
    <t>SOCIETA' AGRICOLA ZEPPILLO BENITO E MICARELLI ANNA MARIA EREDI SOCIETA</t>
  </si>
  <si>
    <t>GUERRA DIEGO</t>
  </si>
  <si>
    <t>AZIENDA AGRICOLA AGOSTINI DI AGOSTINI MATTEO &amp; C. S.N.C.</t>
  </si>
  <si>
    <t>BUCCOLINI MARCO</t>
  </si>
  <si>
    <t>PUCCIARELLI MAURO</t>
  </si>
  <si>
    <t>SALTARELLI ROBERTO</t>
  </si>
  <si>
    <t>LUCARINI GIACOMO</t>
  </si>
  <si>
    <t>CIRIACHI ALESSANDRA</t>
  </si>
  <si>
    <t>SANTARELLI ROBERTA</t>
  </si>
  <si>
    <t>LUCHETTI CASIMIRO</t>
  </si>
  <si>
    <t>SOCIETA' AGRICOLA BERNABEI DI BERNABEI FRANCESCO E C. S.S.</t>
  </si>
  <si>
    <t>COOP.SOC.DE RERUM NATURA SOC.COOP. AGRICOLA A R.L.</t>
  </si>
  <si>
    <t>TARDIOLI MARIA GRAZIA</t>
  </si>
  <si>
    <t>PETROLATI SANTE</t>
  </si>
  <si>
    <t>GMG AGROFORESTALE SAS DI MARINOZZI GINO &amp; 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</si>
</sst>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14" fontId="2" fillId="0" borderId="6" xfId="0" applyNumberFormat="1" applyFont="1" applyBorder="1" applyAlignment="1">
      <alignment wrapText="1"/>
    </xf>
    <xf numFmtId="4" fontId="2" fillId="0" borderId="6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588A2-2FD2-4E3A-8DE7-6725E718EC04}">
  <dimension ref="A1:Z250"/>
  <sheetViews>
    <sheetView showGridLines="0" tabSelected="1" workbookViewId="0">
      <selection activeCell="F255" sqref="F255"/>
    </sheetView>
  </sheetViews>
  <sheetFormatPr defaultRowHeight="14.5" x14ac:dyDescent="0.35"/>
  <cols>
    <col min="1" max="1" width="9.81640625" bestFit="1" customWidth="1"/>
    <col min="2" max="2" width="10.26953125" bestFit="1" customWidth="1"/>
    <col min="3" max="3" width="11.54296875" bestFit="1" customWidth="1"/>
    <col min="4" max="4" width="27.54296875" bestFit="1" customWidth="1"/>
    <col min="5" max="5" width="25" bestFit="1" customWidth="1"/>
    <col min="6" max="6" width="26.7265625" bestFit="1" customWidth="1"/>
    <col min="7" max="7" width="5.36328125" bestFit="1" customWidth="1"/>
    <col min="8" max="8" width="8.08984375" bestFit="1" customWidth="1"/>
    <col min="9" max="9" width="13.36328125" bestFit="1" customWidth="1"/>
    <col min="10" max="10" width="12.7265625" bestFit="1" customWidth="1"/>
    <col min="11" max="13" width="10.7265625" bestFit="1" customWidth="1"/>
    <col min="14" max="14" width="34.90625" bestFit="1" customWidth="1"/>
    <col min="15" max="15" width="8.26953125" bestFit="1" customWidth="1"/>
    <col min="16" max="16" width="14.453125" bestFit="1" customWidth="1"/>
    <col min="17" max="17" width="10.26953125" bestFit="1" customWidth="1"/>
    <col min="18" max="18" width="11.1796875" bestFit="1" customWidth="1"/>
    <col min="19" max="19" width="12.81640625" bestFit="1" customWidth="1"/>
    <col min="20" max="20" width="3.08984375" bestFit="1" customWidth="1"/>
    <col min="21" max="21" width="16.08984375" bestFit="1" customWidth="1"/>
    <col min="22" max="22" width="11.54296875" bestFit="1" customWidth="1"/>
    <col min="23" max="23" width="15.453125" bestFit="1" customWidth="1"/>
    <col min="24" max="25" width="17.08984375" bestFit="1" customWidth="1"/>
    <col min="26" max="26" width="21.26953125" bestFit="1" customWidth="1"/>
  </cols>
  <sheetData>
    <row r="1" spans="1:26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/>
    </row>
    <row r="2" spans="1:26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5"/>
    </row>
    <row r="3" spans="1:26" x14ac:dyDescent="0.3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6" t="s">
        <v>25</v>
      </c>
      <c r="Z3" s="6" t="s">
        <v>26</v>
      </c>
    </row>
    <row r="4" spans="1:26" x14ac:dyDescent="0.35">
      <c r="A4" s="7" t="s">
        <v>27</v>
      </c>
      <c r="B4" s="7" t="s">
        <v>28</v>
      </c>
      <c r="C4" s="7" t="s">
        <v>54</v>
      </c>
      <c r="D4" s="7" t="s">
        <v>55</v>
      </c>
      <c r="E4" s="7" t="s">
        <v>36</v>
      </c>
      <c r="F4" s="7" t="s">
        <v>56</v>
      </c>
      <c r="G4" s="7">
        <v>2021</v>
      </c>
      <c r="H4" s="7" t="str">
        <f>CONCATENATE("14240032061")</f>
        <v>14240032061</v>
      </c>
      <c r="I4" s="7" t="s">
        <v>29</v>
      </c>
      <c r="J4" s="7" t="s">
        <v>30</v>
      </c>
      <c r="K4" s="7" t="str">
        <f>CONCATENATE("")</f>
        <v/>
      </c>
      <c r="L4" s="7" t="str">
        <f>CONCATENATE("10 10.1 4b")</f>
        <v>10 10.1 4b</v>
      </c>
      <c r="M4" s="7" t="str">
        <f>CONCATENATE("PLNSDR68C28F501N")</f>
        <v>PLNSDR68C28F501N</v>
      </c>
      <c r="N4" s="7" t="s">
        <v>57</v>
      </c>
      <c r="O4" s="7"/>
      <c r="P4" s="8">
        <v>44524</v>
      </c>
      <c r="Q4" s="7" t="s">
        <v>31</v>
      </c>
      <c r="R4" s="7" t="s">
        <v>32</v>
      </c>
      <c r="S4" s="7" t="s">
        <v>33</v>
      </c>
      <c r="T4" s="7"/>
      <c r="U4" s="7" t="s">
        <v>34</v>
      </c>
      <c r="V4" s="9">
        <v>1569.7</v>
      </c>
      <c r="W4" s="7">
        <v>676.85</v>
      </c>
      <c r="X4" s="7">
        <v>625.04999999999995</v>
      </c>
      <c r="Y4" s="7">
        <v>0</v>
      </c>
      <c r="Z4" s="7">
        <v>267.8</v>
      </c>
    </row>
    <row r="5" spans="1:26" x14ac:dyDescent="0.35">
      <c r="A5" s="7" t="s">
        <v>27</v>
      </c>
      <c r="B5" s="7" t="s">
        <v>28</v>
      </c>
      <c r="C5" s="7" t="s">
        <v>54</v>
      </c>
      <c r="D5" s="7" t="s">
        <v>55</v>
      </c>
      <c r="E5" s="7" t="s">
        <v>36</v>
      </c>
      <c r="F5" s="7" t="s">
        <v>56</v>
      </c>
      <c r="G5" s="7">
        <v>2021</v>
      </c>
      <c r="H5" s="7" t="str">
        <f>CONCATENATE("14240032079")</f>
        <v>14240032079</v>
      </c>
      <c r="I5" s="7" t="s">
        <v>29</v>
      </c>
      <c r="J5" s="7" t="s">
        <v>30</v>
      </c>
      <c r="K5" s="7" t="str">
        <f>CONCATENATE("")</f>
        <v/>
      </c>
      <c r="L5" s="7" t="str">
        <f>CONCATENATE("10 10.1 4b")</f>
        <v>10 10.1 4b</v>
      </c>
      <c r="M5" s="7" t="str">
        <f>CONCATENATE("FDRLRA70L45H390B")</f>
        <v>FDRLRA70L45H390B</v>
      </c>
      <c r="N5" s="7" t="s">
        <v>58</v>
      </c>
      <c r="O5" s="7"/>
      <c r="P5" s="8">
        <v>44524</v>
      </c>
      <c r="Q5" s="7" t="s">
        <v>31</v>
      </c>
      <c r="R5" s="7" t="s">
        <v>32</v>
      </c>
      <c r="S5" s="7" t="s">
        <v>33</v>
      </c>
      <c r="T5" s="7"/>
      <c r="U5" s="7" t="s">
        <v>34</v>
      </c>
      <c r="V5" s="9">
        <v>1255.3699999999999</v>
      </c>
      <c r="W5" s="7">
        <v>541.32000000000005</v>
      </c>
      <c r="X5" s="7">
        <v>499.89</v>
      </c>
      <c r="Y5" s="7">
        <v>0</v>
      </c>
      <c r="Z5" s="7">
        <v>214.16</v>
      </c>
    </row>
    <row r="6" spans="1:26" x14ac:dyDescent="0.35">
      <c r="A6" s="7" t="s">
        <v>27</v>
      </c>
      <c r="B6" s="7" t="s">
        <v>28</v>
      </c>
      <c r="C6" s="7" t="s">
        <v>54</v>
      </c>
      <c r="D6" s="7" t="s">
        <v>55</v>
      </c>
      <c r="E6" s="7" t="s">
        <v>36</v>
      </c>
      <c r="F6" s="7" t="s">
        <v>56</v>
      </c>
      <c r="G6" s="7">
        <v>2021</v>
      </c>
      <c r="H6" s="7" t="str">
        <f>CONCATENATE("14240655531")</f>
        <v>14240655531</v>
      </c>
      <c r="I6" s="7" t="s">
        <v>29</v>
      </c>
      <c r="J6" s="7" t="s">
        <v>30</v>
      </c>
      <c r="K6" s="7" t="str">
        <f>CONCATENATE("")</f>
        <v/>
      </c>
      <c r="L6" s="7" t="str">
        <f>CONCATENATE("10 10.1 4b")</f>
        <v>10 10.1 4b</v>
      </c>
      <c r="M6" s="7" t="str">
        <f>CONCATENATE("STPHMS90C31H769B")</f>
        <v>STPHMS90C31H769B</v>
      </c>
      <c r="N6" s="7" t="s">
        <v>59</v>
      </c>
      <c r="O6" s="7"/>
      <c r="P6" s="8">
        <v>44524</v>
      </c>
      <c r="Q6" s="7" t="s">
        <v>31</v>
      </c>
      <c r="R6" s="7" t="s">
        <v>32</v>
      </c>
      <c r="S6" s="7" t="s">
        <v>33</v>
      </c>
      <c r="T6" s="7"/>
      <c r="U6" s="7" t="s">
        <v>34</v>
      </c>
      <c r="V6" s="9">
        <v>4119.21</v>
      </c>
      <c r="W6" s="9">
        <v>1776.2</v>
      </c>
      <c r="X6" s="9">
        <v>1640.27</v>
      </c>
      <c r="Y6" s="7">
        <v>0</v>
      </c>
      <c r="Z6" s="7">
        <v>702.74</v>
      </c>
    </row>
    <row r="7" spans="1:26" x14ac:dyDescent="0.35">
      <c r="A7" s="7" t="s">
        <v>27</v>
      </c>
      <c r="B7" s="7" t="s">
        <v>28</v>
      </c>
      <c r="C7" s="7" t="s">
        <v>54</v>
      </c>
      <c r="D7" s="7" t="s">
        <v>55</v>
      </c>
      <c r="E7" s="7" t="s">
        <v>36</v>
      </c>
      <c r="F7" s="7" t="s">
        <v>56</v>
      </c>
      <c r="G7" s="7">
        <v>2021</v>
      </c>
      <c r="H7" s="7" t="str">
        <f>CONCATENATE("14240072323")</f>
        <v>14240072323</v>
      </c>
      <c r="I7" s="7" t="s">
        <v>29</v>
      </c>
      <c r="J7" s="7" t="s">
        <v>30</v>
      </c>
      <c r="K7" s="7" t="str">
        <f>CONCATENATE("")</f>
        <v/>
      </c>
      <c r="L7" s="7" t="str">
        <f>CONCATENATE("10 10.1 4b")</f>
        <v>10 10.1 4b</v>
      </c>
      <c r="M7" s="7" t="str">
        <f>CONCATENATE("GMNPRI61L28F415R")</f>
        <v>GMNPRI61L28F415R</v>
      </c>
      <c r="N7" s="7" t="s">
        <v>60</v>
      </c>
      <c r="O7" s="7"/>
      <c r="P7" s="8">
        <v>44524</v>
      </c>
      <c r="Q7" s="7" t="s">
        <v>31</v>
      </c>
      <c r="R7" s="7" t="s">
        <v>32</v>
      </c>
      <c r="S7" s="7" t="s">
        <v>33</v>
      </c>
      <c r="T7" s="7"/>
      <c r="U7" s="7" t="s">
        <v>34</v>
      </c>
      <c r="V7" s="9">
        <v>3128.89</v>
      </c>
      <c r="W7" s="9">
        <v>1349.18</v>
      </c>
      <c r="X7" s="9">
        <v>1245.92</v>
      </c>
      <c r="Y7" s="7">
        <v>0</v>
      </c>
      <c r="Z7" s="7">
        <v>533.79</v>
      </c>
    </row>
    <row r="8" spans="1:26" x14ac:dyDescent="0.35">
      <c r="A8" s="7" t="s">
        <v>27</v>
      </c>
      <c r="B8" s="7" t="s">
        <v>28</v>
      </c>
      <c r="C8" s="7" t="s">
        <v>54</v>
      </c>
      <c r="D8" s="7" t="s">
        <v>55</v>
      </c>
      <c r="E8" s="7" t="s">
        <v>36</v>
      </c>
      <c r="F8" s="7" t="s">
        <v>56</v>
      </c>
      <c r="G8" s="7">
        <v>2021</v>
      </c>
      <c r="H8" s="7" t="str">
        <f>CONCATENATE("14240082769")</f>
        <v>14240082769</v>
      </c>
      <c r="I8" s="7" t="s">
        <v>29</v>
      </c>
      <c r="J8" s="7" t="s">
        <v>30</v>
      </c>
      <c r="K8" s="7" t="str">
        <f>CONCATENATE("")</f>
        <v/>
      </c>
      <c r="L8" s="7" t="str">
        <f>CONCATENATE("10 10.1 4b")</f>
        <v>10 10.1 4b</v>
      </c>
      <c r="M8" s="7" t="str">
        <f>CONCATENATE("BGLSRA58H27H182J")</f>
        <v>BGLSRA58H27H182J</v>
      </c>
      <c r="N8" s="7" t="s">
        <v>61</v>
      </c>
      <c r="O8" s="7"/>
      <c r="P8" s="8">
        <v>44524</v>
      </c>
      <c r="Q8" s="7" t="s">
        <v>31</v>
      </c>
      <c r="R8" s="7" t="s">
        <v>32</v>
      </c>
      <c r="S8" s="7" t="s">
        <v>33</v>
      </c>
      <c r="T8" s="7"/>
      <c r="U8" s="7" t="s">
        <v>34</v>
      </c>
      <c r="V8" s="9">
        <v>3006.11</v>
      </c>
      <c r="W8" s="9">
        <v>1296.23</v>
      </c>
      <c r="X8" s="9">
        <v>1197.03</v>
      </c>
      <c r="Y8" s="7">
        <v>0</v>
      </c>
      <c r="Z8" s="7">
        <v>512.85</v>
      </c>
    </row>
    <row r="9" spans="1:26" x14ac:dyDescent="0.35">
      <c r="A9" s="7" t="s">
        <v>27</v>
      </c>
      <c r="B9" s="7" t="s">
        <v>28</v>
      </c>
      <c r="C9" s="7" t="s">
        <v>54</v>
      </c>
      <c r="D9" s="7" t="s">
        <v>55</v>
      </c>
      <c r="E9" s="7" t="s">
        <v>36</v>
      </c>
      <c r="F9" s="7" t="s">
        <v>56</v>
      </c>
      <c r="G9" s="7">
        <v>2021</v>
      </c>
      <c r="H9" s="7" t="str">
        <f>CONCATENATE("14240094897")</f>
        <v>14240094897</v>
      </c>
      <c r="I9" s="7" t="s">
        <v>29</v>
      </c>
      <c r="J9" s="7" t="s">
        <v>30</v>
      </c>
      <c r="K9" s="7" t="str">
        <f>CONCATENATE("")</f>
        <v/>
      </c>
      <c r="L9" s="7" t="str">
        <f>CONCATENATE("10 10.1 4b")</f>
        <v>10 10.1 4b</v>
      </c>
      <c r="M9" s="7" t="str">
        <f>CONCATENATE("MCCGPP57R08G516B")</f>
        <v>MCCGPP57R08G516B</v>
      </c>
      <c r="N9" s="7" t="s">
        <v>62</v>
      </c>
      <c r="O9" s="7"/>
      <c r="P9" s="8">
        <v>44524</v>
      </c>
      <c r="Q9" s="7" t="s">
        <v>31</v>
      </c>
      <c r="R9" s="7" t="s">
        <v>32</v>
      </c>
      <c r="S9" s="7" t="s">
        <v>33</v>
      </c>
      <c r="T9" s="7"/>
      <c r="U9" s="7" t="s">
        <v>34</v>
      </c>
      <c r="V9" s="9">
        <v>3440.59</v>
      </c>
      <c r="W9" s="9">
        <v>1483.58</v>
      </c>
      <c r="X9" s="9">
        <v>1370.04</v>
      </c>
      <c r="Y9" s="7">
        <v>0</v>
      </c>
      <c r="Z9" s="7">
        <v>586.97</v>
      </c>
    </row>
    <row r="10" spans="1:26" x14ac:dyDescent="0.35">
      <c r="A10" s="7" t="s">
        <v>27</v>
      </c>
      <c r="B10" s="7" t="s">
        <v>28</v>
      </c>
      <c r="C10" s="7" t="s">
        <v>54</v>
      </c>
      <c r="D10" s="7" t="s">
        <v>55</v>
      </c>
      <c r="E10" s="7" t="s">
        <v>36</v>
      </c>
      <c r="F10" s="7" t="s">
        <v>56</v>
      </c>
      <c r="G10" s="7">
        <v>2021</v>
      </c>
      <c r="H10" s="7" t="str">
        <f>CONCATENATE("14240124967")</f>
        <v>14240124967</v>
      </c>
      <c r="I10" s="7" t="s">
        <v>29</v>
      </c>
      <c r="J10" s="7" t="s">
        <v>30</v>
      </c>
      <c r="K10" s="7" t="str">
        <f>CONCATENATE("")</f>
        <v/>
      </c>
      <c r="L10" s="7" t="str">
        <f>CONCATENATE("10 10.1 4b")</f>
        <v>10 10.1 4b</v>
      </c>
      <c r="M10" s="7" t="str">
        <f>CONCATENATE("CRLDNL62T09F415K")</f>
        <v>CRLDNL62T09F415K</v>
      </c>
      <c r="N10" s="7" t="s">
        <v>63</v>
      </c>
      <c r="O10" s="7"/>
      <c r="P10" s="8">
        <v>44524</v>
      </c>
      <c r="Q10" s="7" t="s">
        <v>31</v>
      </c>
      <c r="R10" s="7" t="s">
        <v>32</v>
      </c>
      <c r="S10" s="7" t="s">
        <v>33</v>
      </c>
      <c r="T10" s="7"/>
      <c r="U10" s="7" t="s">
        <v>34</v>
      </c>
      <c r="V10" s="9">
        <v>4072.97</v>
      </c>
      <c r="W10" s="9">
        <v>1756.26</v>
      </c>
      <c r="X10" s="9">
        <v>1621.86</v>
      </c>
      <c r="Y10" s="7">
        <v>0</v>
      </c>
      <c r="Z10" s="7">
        <v>694.85</v>
      </c>
    </row>
    <row r="11" spans="1:26" ht="17.5" x14ac:dyDescent="0.35">
      <c r="A11" s="7" t="s">
        <v>27</v>
      </c>
      <c r="B11" s="7" t="s">
        <v>28</v>
      </c>
      <c r="C11" s="7" t="s">
        <v>54</v>
      </c>
      <c r="D11" s="7" t="s">
        <v>55</v>
      </c>
      <c r="E11" s="7" t="s">
        <v>36</v>
      </c>
      <c r="F11" s="7" t="s">
        <v>56</v>
      </c>
      <c r="G11" s="7">
        <v>2021</v>
      </c>
      <c r="H11" s="7" t="str">
        <f>CONCATENATE("14240130675")</f>
        <v>14240130675</v>
      </c>
      <c r="I11" s="7" t="s">
        <v>29</v>
      </c>
      <c r="J11" s="7" t="s">
        <v>30</v>
      </c>
      <c r="K11" s="7" t="str">
        <f>CONCATENATE("")</f>
        <v/>
      </c>
      <c r="L11" s="7" t="str">
        <f>CONCATENATE("10 10.1 4b")</f>
        <v>10 10.1 4b</v>
      </c>
      <c r="M11" s="7" t="str">
        <f>CONCATENATE("MZZMRZ65M08G516V")</f>
        <v>MZZMRZ65M08G516V</v>
      </c>
      <c r="N11" s="7" t="s">
        <v>64</v>
      </c>
      <c r="O11" s="7"/>
      <c r="P11" s="8">
        <v>44524</v>
      </c>
      <c r="Q11" s="7" t="s">
        <v>31</v>
      </c>
      <c r="R11" s="7" t="s">
        <v>32</v>
      </c>
      <c r="S11" s="7" t="s">
        <v>33</v>
      </c>
      <c r="T11" s="7"/>
      <c r="U11" s="7" t="s">
        <v>34</v>
      </c>
      <c r="V11" s="9">
        <v>1163.6500000000001</v>
      </c>
      <c r="W11" s="7">
        <v>501.77</v>
      </c>
      <c r="X11" s="7">
        <v>463.37</v>
      </c>
      <c r="Y11" s="7">
        <v>0</v>
      </c>
      <c r="Z11" s="7">
        <v>198.51</v>
      </c>
    </row>
    <row r="12" spans="1:26" x14ac:dyDescent="0.35">
      <c r="A12" s="7" t="s">
        <v>27</v>
      </c>
      <c r="B12" s="7" t="s">
        <v>28</v>
      </c>
      <c r="C12" s="7" t="s">
        <v>54</v>
      </c>
      <c r="D12" s="7" t="s">
        <v>55</v>
      </c>
      <c r="E12" s="7" t="s">
        <v>36</v>
      </c>
      <c r="F12" s="7" t="s">
        <v>56</v>
      </c>
      <c r="G12" s="7">
        <v>2021</v>
      </c>
      <c r="H12" s="7" t="str">
        <f>CONCATENATE("14240147653")</f>
        <v>14240147653</v>
      </c>
      <c r="I12" s="7" t="s">
        <v>29</v>
      </c>
      <c r="J12" s="7" t="s">
        <v>30</v>
      </c>
      <c r="K12" s="7" t="str">
        <f>CONCATENATE("")</f>
        <v/>
      </c>
      <c r="L12" s="7" t="str">
        <f>CONCATENATE("10 10.1 4b")</f>
        <v>10 10.1 4b</v>
      </c>
      <c r="M12" s="7" t="str">
        <f>CONCATENATE("SBEMSM76E27D542E")</f>
        <v>SBEMSM76E27D542E</v>
      </c>
      <c r="N12" s="7" t="s">
        <v>65</v>
      </c>
      <c r="O12" s="7"/>
      <c r="P12" s="8">
        <v>44524</v>
      </c>
      <c r="Q12" s="7" t="s">
        <v>31</v>
      </c>
      <c r="R12" s="7" t="s">
        <v>32</v>
      </c>
      <c r="S12" s="7" t="s">
        <v>33</v>
      </c>
      <c r="T12" s="7"/>
      <c r="U12" s="7" t="s">
        <v>34</v>
      </c>
      <c r="V12" s="9">
        <v>6966.96</v>
      </c>
      <c r="W12" s="9">
        <v>3004.15</v>
      </c>
      <c r="X12" s="9">
        <v>2774.24</v>
      </c>
      <c r="Y12" s="7">
        <v>0</v>
      </c>
      <c r="Z12" s="9">
        <v>1188.57</v>
      </c>
    </row>
    <row r="13" spans="1:26" x14ac:dyDescent="0.35">
      <c r="A13" s="7" t="s">
        <v>27</v>
      </c>
      <c r="B13" s="7" t="s">
        <v>28</v>
      </c>
      <c r="C13" s="7" t="s">
        <v>54</v>
      </c>
      <c r="D13" s="7" t="s">
        <v>55</v>
      </c>
      <c r="E13" s="7" t="s">
        <v>36</v>
      </c>
      <c r="F13" s="7" t="s">
        <v>56</v>
      </c>
      <c r="G13" s="7">
        <v>2021</v>
      </c>
      <c r="H13" s="7" t="str">
        <f>CONCATENATE("14240170432")</f>
        <v>14240170432</v>
      </c>
      <c r="I13" s="7" t="s">
        <v>29</v>
      </c>
      <c r="J13" s="7" t="s">
        <v>30</v>
      </c>
      <c r="K13" s="7" t="str">
        <f>CONCATENATE("")</f>
        <v/>
      </c>
      <c r="L13" s="7" t="str">
        <f>CONCATENATE("10 10.1 4b")</f>
        <v>10 10.1 4b</v>
      </c>
      <c r="M13" s="7" t="str">
        <f>CONCATENATE("MZZSFN89D15H769C")</f>
        <v>MZZSFN89D15H769C</v>
      </c>
      <c r="N13" s="7" t="s">
        <v>66</v>
      </c>
      <c r="O13" s="7"/>
      <c r="P13" s="8">
        <v>44524</v>
      </c>
      <c r="Q13" s="7" t="s">
        <v>31</v>
      </c>
      <c r="R13" s="7" t="s">
        <v>32</v>
      </c>
      <c r="S13" s="7" t="s">
        <v>33</v>
      </c>
      <c r="T13" s="7"/>
      <c r="U13" s="7" t="s">
        <v>34</v>
      </c>
      <c r="V13" s="9">
        <v>6289.31</v>
      </c>
      <c r="W13" s="9">
        <v>2711.95</v>
      </c>
      <c r="X13" s="9">
        <v>2504.4</v>
      </c>
      <c r="Y13" s="7">
        <v>0</v>
      </c>
      <c r="Z13" s="9">
        <v>1072.96</v>
      </c>
    </row>
    <row r="14" spans="1:26" x14ac:dyDescent="0.35">
      <c r="A14" s="7" t="s">
        <v>27</v>
      </c>
      <c r="B14" s="7" t="s">
        <v>28</v>
      </c>
      <c r="C14" s="7" t="s">
        <v>54</v>
      </c>
      <c r="D14" s="7" t="s">
        <v>55</v>
      </c>
      <c r="E14" s="7" t="s">
        <v>36</v>
      </c>
      <c r="F14" s="7" t="s">
        <v>56</v>
      </c>
      <c r="G14" s="7">
        <v>2021</v>
      </c>
      <c r="H14" s="7" t="str">
        <f>CONCATENATE("14240174137")</f>
        <v>14240174137</v>
      </c>
      <c r="I14" s="7" t="s">
        <v>29</v>
      </c>
      <c r="J14" s="7" t="s">
        <v>30</v>
      </c>
      <c r="K14" s="7" t="str">
        <f>CONCATENATE("")</f>
        <v/>
      </c>
      <c r="L14" s="7" t="str">
        <f>CONCATENATE("10 10.1 4b")</f>
        <v>10 10.1 4b</v>
      </c>
      <c r="M14" s="7" t="str">
        <f>CONCATENATE("MSTCHR92E55G388U")</f>
        <v>MSTCHR92E55G388U</v>
      </c>
      <c r="N14" s="7" t="s">
        <v>67</v>
      </c>
      <c r="O14" s="7"/>
      <c r="P14" s="8">
        <v>44524</v>
      </c>
      <c r="Q14" s="7" t="s">
        <v>31</v>
      </c>
      <c r="R14" s="7" t="s">
        <v>32</v>
      </c>
      <c r="S14" s="7" t="s">
        <v>33</v>
      </c>
      <c r="T14" s="7"/>
      <c r="U14" s="7" t="s">
        <v>34</v>
      </c>
      <c r="V14" s="9">
        <v>3759.13</v>
      </c>
      <c r="W14" s="9">
        <v>1620.94</v>
      </c>
      <c r="X14" s="9">
        <v>1496.89</v>
      </c>
      <c r="Y14" s="7">
        <v>0</v>
      </c>
      <c r="Z14" s="7">
        <v>641.29999999999995</v>
      </c>
    </row>
    <row r="15" spans="1:26" x14ac:dyDescent="0.35">
      <c r="A15" s="7" t="s">
        <v>27</v>
      </c>
      <c r="B15" s="7" t="s">
        <v>28</v>
      </c>
      <c r="C15" s="7" t="s">
        <v>54</v>
      </c>
      <c r="D15" s="7" t="s">
        <v>55</v>
      </c>
      <c r="E15" s="7" t="s">
        <v>36</v>
      </c>
      <c r="F15" s="7" t="s">
        <v>56</v>
      </c>
      <c r="G15" s="7">
        <v>2021</v>
      </c>
      <c r="H15" s="7" t="str">
        <f>CONCATENATE("14240210121")</f>
        <v>14240210121</v>
      </c>
      <c r="I15" s="7" t="s">
        <v>29</v>
      </c>
      <c r="J15" s="7" t="s">
        <v>30</v>
      </c>
      <c r="K15" s="7" t="str">
        <f>CONCATENATE("")</f>
        <v/>
      </c>
      <c r="L15" s="7" t="str">
        <f>CONCATENATE("10 10.1 4b")</f>
        <v>10 10.1 4b</v>
      </c>
      <c r="M15" s="7" t="str">
        <f>CONCATENATE("BLLGRG76R01F501G")</f>
        <v>BLLGRG76R01F501G</v>
      </c>
      <c r="N15" s="7" t="s">
        <v>68</v>
      </c>
      <c r="O15" s="7"/>
      <c r="P15" s="8">
        <v>44524</v>
      </c>
      <c r="Q15" s="7" t="s">
        <v>31</v>
      </c>
      <c r="R15" s="7" t="s">
        <v>32</v>
      </c>
      <c r="S15" s="7" t="s">
        <v>33</v>
      </c>
      <c r="T15" s="7"/>
      <c r="U15" s="7" t="s">
        <v>34</v>
      </c>
      <c r="V15" s="9">
        <v>4685.95</v>
      </c>
      <c r="W15" s="9">
        <v>2020.58</v>
      </c>
      <c r="X15" s="9">
        <v>1865.95</v>
      </c>
      <c r="Y15" s="7">
        <v>0</v>
      </c>
      <c r="Z15" s="7">
        <v>799.42</v>
      </c>
    </row>
    <row r="16" spans="1:26" x14ac:dyDescent="0.35">
      <c r="A16" s="7" t="s">
        <v>27</v>
      </c>
      <c r="B16" s="7" t="s">
        <v>28</v>
      </c>
      <c r="C16" s="7" t="s">
        <v>54</v>
      </c>
      <c r="D16" s="7" t="s">
        <v>55</v>
      </c>
      <c r="E16" s="7" t="s">
        <v>36</v>
      </c>
      <c r="F16" s="7" t="s">
        <v>56</v>
      </c>
      <c r="G16" s="7">
        <v>2021</v>
      </c>
      <c r="H16" s="7" t="str">
        <f>CONCATENATE("14240190208")</f>
        <v>14240190208</v>
      </c>
      <c r="I16" s="7" t="s">
        <v>29</v>
      </c>
      <c r="J16" s="7" t="s">
        <v>30</v>
      </c>
      <c r="K16" s="7" t="str">
        <f>CONCATENATE("")</f>
        <v/>
      </c>
      <c r="L16" s="7" t="str">
        <f>CONCATENATE("10 10.1 4b")</f>
        <v>10 10.1 4b</v>
      </c>
      <c r="M16" s="7" t="str">
        <f>CONCATENATE("NGLMRA36C10F599O")</f>
        <v>NGLMRA36C10F599O</v>
      </c>
      <c r="N16" s="7" t="s">
        <v>69</v>
      </c>
      <c r="O16" s="7"/>
      <c r="P16" s="8">
        <v>44524</v>
      </c>
      <c r="Q16" s="7" t="s">
        <v>31</v>
      </c>
      <c r="R16" s="7" t="s">
        <v>32</v>
      </c>
      <c r="S16" s="7" t="s">
        <v>33</v>
      </c>
      <c r="T16" s="7"/>
      <c r="U16" s="7" t="s">
        <v>34</v>
      </c>
      <c r="V16" s="9">
        <v>3837.76</v>
      </c>
      <c r="W16" s="9">
        <v>1654.84</v>
      </c>
      <c r="X16" s="9">
        <v>1528.2</v>
      </c>
      <c r="Y16" s="7">
        <v>0</v>
      </c>
      <c r="Z16" s="7">
        <v>654.72</v>
      </c>
    </row>
    <row r="17" spans="1:26" x14ac:dyDescent="0.35">
      <c r="A17" s="7" t="s">
        <v>27</v>
      </c>
      <c r="B17" s="7" t="s">
        <v>28</v>
      </c>
      <c r="C17" s="7" t="s">
        <v>54</v>
      </c>
      <c r="D17" s="7" t="s">
        <v>55</v>
      </c>
      <c r="E17" s="7" t="s">
        <v>36</v>
      </c>
      <c r="F17" s="7" t="s">
        <v>56</v>
      </c>
      <c r="G17" s="7">
        <v>2021</v>
      </c>
      <c r="H17" s="7" t="str">
        <f>CONCATENATE("14240206434")</f>
        <v>14240206434</v>
      </c>
      <c r="I17" s="7" t="s">
        <v>29</v>
      </c>
      <c r="J17" s="7" t="s">
        <v>30</v>
      </c>
      <c r="K17" s="7" t="str">
        <f>CONCATENATE("")</f>
        <v/>
      </c>
      <c r="L17" s="7" t="str">
        <f>CONCATENATE("10 10.1 4b")</f>
        <v>10 10.1 4b</v>
      </c>
      <c r="M17" s="7" t="str">
        <f>CONCATENATE("TMPQNT54R02G516T")</f>
        <v>TMPQNT54R02G516T</v>
      </c>
      <c r="N17" s="7" t="s">
        <v>70</v>
      </c>
      <c r="O17" s="7"/>
      <c r="P17" s="8">
        <v>44524</v>
      </c>
      <c r="Q17" s="7" t="s">
        <v>31</v>
      </c>
      <c r="R17" s="7" t="s">
        <v>32</v>
      </c>
      <c r="S17" s="7" t="s">
        <v>33</v>
      </c>
      <c r="T17" s="7"/>
      <c r="U17" s="7" t="s">
        <v>34</v>
      </c>
      <c r="V17" s="9">
        <v>1122.8800000000001</v>
      </c>
      <c r="W17" s="7">
        <v>484.19</v>
      </c>
      <c r="X17" s="7">
        <v>447.13</v>
      </c>
      <c r="Y17" s="7">
        <v>0</v>
      </c>
      <c r="Z17" s="7">
        <v>191.56</v>
      </c>
    </row>
    <row r="18" spans="1:26" x14ac:dyDescent="0.35">
      <c r="A18" s="7" t="s">
        <v>27</v>
      </c>
      <c r="B18" s="7" t="s">
        <v>28</v>
      </c>
      <c r="C18" s="7" t="s">
        <v>54</v>
      </c>
      <c r="D18" s="7" t="s">
        <v>55</v>
      </c>
      <c r="E18" s="7" t="s">
        <v>38</v>
      </c>
      <c r="F18" s="7" t="s">
        <v>71</v>
      </c>
      <c r="G18" s="7">
        <v>2021</v>
      </c>
      <c r="H18" s="7" t="str">
        <f>CONCATENATE("14240295577")</f>
        <v>14240295577</v>
      </c>
      <c r="I18" s="7" t="s">
        <v>29</v>
      </c>
      <c r="J18" s="7" t="s">
        <v>30</v>
      </c>
      <c r="K18" s="7" t="str">
        <f>CONCATENATE("")</f>
        <v/>
      </c>
      <c r="L18" s="7" t="str">
        <f>CONCATENATE("10 10.1 4b")</f>
        <v>10 10.1 4b</v>
      </c>
      <c r="M18" s="7" t="str">
        <f>CONCATENATE("SDRGLN60B45F549R")</f>
        <v>SDRGLN60B45F549R</v>
      </c>
      <c r="N18" s="7" t="s">
        <v>72</v>
      </c>
      <c r="O18" s="7"/>
      <c r="P18" s="8">
        <v>44524</v>
      </c>
      <c r="Q18" s="7" t="s">
        <v>31</v>
      </c>
      <c r="R18" s="7" t="s">
        <v>32</v>
      </c>
      <c r="S18" s="7" t="s">
        <v>33</v>
      </c>
      <c r="T18" s="7"/>
      <c r="U18" s="7" t="s">
        <v>34</v>
      </c>
      <c r="V18" s="9">
        <v>1264.49</v>
      </c>
      <c r="W18" s="7">
        <v>545.25</v>
      </c>
      <c r="X18" s="7">
        <v>503.52</v>
      </c>
      <c r="Y18" s="7">
        <v>0</v>
      </c>
      <c r="Z18" s="7">
        <v>215.72</v>
      </c>
    </row>
    <row r="19" spans="1:26" x14ac:dyDescent="0.35">
      <c r="A19" s="7" t="s">
        <v>27</v>
      </c>
      <c r="B19" s="7" t="s">
        <v>28</v>
      </c>
      <c r="C19" s="7" t="s">
        <v>54</v>
      </c>
      <c r="D19" s="7" t="s">
        <v>55</v>
      </c>
      <c r="E19" s="7" t="s">
        <v>36</v>
      </c>
      <c r="F19" s="7" t="s">
        <v>56</v>
      </c>
      <c r="G19" s="7">
        <v>2021</v>
      </c>
      <c r="H19" s="7" t="str">
        <f>CONCATENATE("14240224387")</f>
        <v>14240224387</v>
      </c>
      <c r="I19" s="7" t="s">
        <v>29</v>
      </c>
      <c r="J19" s="7" t="s">
        <v>30</v>
      </c>
      <c r="K19" s="7" t="str">
        <f>CONCATENATE("")</f>
        <v/>
      </c>
      <c r="L19" s="7" t="str">
        <f>CONCATENATE("10 10.1 4b")</f>
        <v>10 10.1 4b</v>
      </c>
      <c r="M19" s="7" t="str">
        <f>CONCATENATE("00707010443")</f>
        <v>00707010443</v>
      </c>
      <c r="N19" s="7" t="s">
        <v>73</v>
      </c>
      <c r="O19" s="7"/>
      <c r="P19" s="8">
        <v>44524</v>
      </c>
      <c r="Q19" s="7" t="s">
        <v>31</v>
      </c>
      <c r="R19" s="7" t="s">
        <v>32</v>
      </c>
      <c r="S19" s="7" t="s">
        <v>33</v>
      </c>
      <c r="T19" s="7"/>
      <c r="U19" s="7" t="s">
        <v>34</v>
      </c>
      <c r="V19" s="9">
        <v>3414.35</v>
      </c>
      <c r="W19" s="9">
        <v>1472.27</v>
      </c>
      <c r="X19" s="9">
        <v>1359.59</v>
      </c>
      <c r="Y19" s="7">
        <v>0</v>
      </c>
      <c r="Z19" s="7">
        <v>582.49</v>
      </c>
    </row>
    <row r="20" spans="1:26" ht="17.5" x14ac:dyDescent="0.35">
      <c r="A20" s="7" t="s">
        <v>27</v>
      </c>
      <c r="B20" s="7" t="s">
        <v>28</v>
      </c>
      <c r="C20" s="7" t="s">
        <v>54</v>
      </c>
      <c r="D20" s="7" t="s">
        <v>55</v>
      </c>
      <c r="E20" s="7" t="s">
        <v>36</v>
      </c>
      <c r="F20" s="7" t="s">
        <v>56</v>
      </c>
      <c r="G20" s="7">
        <v>2021</v>
      </c>
      <c r="H20" s="7" t="str">
        <f>CONCATENATE("14240245739")</f>
        <v>14240245739</v>
      </c>
      <c r="I20" s="7" t="s">
        <v>29</v>
      </c>
      <c r="J20" s="7" t="s">
        <v>30</v>
      </c>
      <c r="K20" s="7" t="str">
        <f>CONCATENATE("")</f>
        <v/>
      </c>
      <c r="L20" s="7" t="str">
        <f>CONCATENATE("10 10.1 4b")</f>
        <v>10 10.1 4b</v>
      </c>
      <c r="M20" s="7" t="str">
        <f>CONCATENATE("02275340442")</f>
        <v>02275340442</v>
      </c>
      <c r="N20" s="7" t="s">
        <v>74</v>
      </c>
      <c r="O20" s="7"/>
      <c r="P20" s="8">
        <v>44524</v>
      </c>
      <c r="Q20" s="7" t="s">
        <v>31</v>
      </c>
      <c r="R20" s="7" t="s">
        <v>32</v>
      </c>
      <c r="S20" s="7" t="s">
        <v>33</v>
      </c>
      <c r="T20" s="7"/>
      <c r="U20" s="7" t="s">
        <v>34</v>
      </c>
      <c r="V20" s="9">
        <v>3546.23</v>
      </c>
      <c r="W20" s="9">
        <v>1529.13</v>
      </c>
      <c r="X20" s="9">
        <v>1412.11</v>
      </c>
      <c r="Y20" s="7">
        <v>0</v>
      </c>
      <c r="Z20" s="7">
        <v>604.99</v>
      </c>
    </row>
    <row r="21" spans="1:26" x14ac:dyDescent="0.35">
      <c r="A21" s="7" t="s">
        <v>27</v>
      </c>
      <c r="B21" s="7" t="s">
        <v>28</v>
      </c>
      <c r="C21" s="7" t="s">
        <v>54</v>
      </c>
      <c r="D21" s="7" t="s">
        <v>55</v>
      </c>
      <c r="E21" s="7" t="s">
        <v>36</v>
      </c>
      <c r="F21" s="7" t="s">
        <v>56</v>
      </c>
      <c r="G21" s="7">
        <v>2021</v>
      </c>
      <c r="H21" s="7" t="str">
        <f>CONCATENATE("14240308446")</f>
        <v>14240308446</v>
      </c>
      <c r="I21" s="7" t="s">
        <v>29</v>
      </c>
      <c r="J21" s="7" t="s">
        <v>30</v>
      </c>
      <c r="K21" s="7" t="str">
        <f>CONCATENATE("")</f>
        <v/>
      </c>
      <c r="L21" s="7" t="str">
        <f>CONCATENATE("10 10.1 4b")</f>
        <v>10 10.1 4b</v>
      </c>
      <c r="M21" s="7" t="str">
        <f>CONCATENATE("MCCDGI97M04A271O")</f>
        <v>MCCDGI97M04A271O</v>
      </c>
      <c r="N21" s="7" t="s">
        <v>75</v>
      </c>
      <c r="O21" s="7"/>
      <c r="P21" s="8">
        <v>44524</v>
      </c>
      <c r="Q21" s="7" t="s">
        <v>31</v>
      </c>
      <c r="R21" s="7" t="s">
        <v>32</v>
      </c>
      <c r="S21" s="7" t="s">
        <v>33</v>
      </c>
      <c r="T21" s="7"/>
      <c r="U21" s="7" t="s">
        <v>34</v>
      </c>
      <c r="V21" s="7">
        <v>870.13</v>
      </c>
      <c r="W21" s="7">
        <v>375.2</v>
      </c>
      <c r="X21" s="7">
        <v>346.49</v>
      </c>
      <c r="Y21" s="7">
        <v>0</v>
      </c>
      <c r="Z21" s="7">
        <v>148.44</v>
      </c>
    </row>
    <row r="22" spans="1:26" x14ac:dyDescent="0.35">
      <c r="A22" s="7" t="s">
        <v>27</v>
      </c>
      <c r="B22" s="7" t="s">
        <v>28</v>
      </c>
      <c r="C22" s="7" t="s">
        <v>54</v>
      </c>
      <c r="D22" s="7" t="s">
        <v>55</v>
      </c>
      <c r="E22" s="7" t="s">
        <v>36</v>
      </c>
      <c r="F22" s="7" t="s">
        <v>56</v>
      </c>
      <c r="G22" s="7">
        <v>2021</v>
      </c>
      <c r="H22" s="7" t="str">
        <f>CONCATENATE("14240332057")</f>
        <v>14240332057</v>
      </c>
      <c r="I22" s="7" t="s">
        <v>29</v>
      </c>
      <c r="J22" s="7" t="s">
        <v>30</v>
      </c>
      <c r="K22" s="7" t="str">
        <f>CONCATENATE("")</f>
        <v/>
      </c>
      <c r="L22" s="7" t="str">
        <f>CONCATENATE("10 10.1 4b")</f>
        <v>10 10.1 4b</v>
      </c>
      <c r="M22" s="7" t="str">
        <f>CONCATENATE("01175890449")</f>
        <v>01175890449</v>
      </c>
      <c r="N22" s="7" t="s">
        <v>76</v>
      </c>
      <c r="O22" s="7"/>
      <c r="P22" s="8">
        <v>44524</v>
      </c>
      <c r="Q22" s="7" t="s">
        <v>31</v>
      </c>
      <c r="R22" s="7" t="s">
        <v>32</v>
      </c>
      <c r="S22" s="7" t="s">
        <v>33</v>
      </c>
      <c r="T22" s="7"/>
      <c r="U22" s="7" t="s">
        <v>34</v>
      </c>
      <c r="V22" s="9">
        <v>3335.08</v>
      </c>
      <c r="W22" s="9">
        <v>1438.09</v>
      </c>
      <c r="X22" s="9">
        <v>1328.03</v>
      </c>
      <c r="Y22" s="7">
        <v>0</v>
      </c>
      <c r="Z22" s="7">
        <v>568.96</v>
      </c>
    </row>
    <row r="23" spans="1:26" x14ac:dyDescent="0.35">
      <c r="A23" s="7" t="s">
        <v>27</v>
      </c>
      <c r="B23" s="7" t="s">
        <v>28</v>
      </c>
      <c r="C23" s="7" t="s">
        <v>54</v>
      </c>
      <c r="D23" s="7" t="s">
        <v>55</v>
      </c>
      <c r="E23" s="7" t="s">
        <v>38</v>
      </c>
      <c r="F23" s="7" t="s">
        <v>71</v>
      </c>
      <c r="G23" s="7">
        <v>2021</v>
      </c>
      <c r="H23" s="7" t="str">
        <f>CONCATENATE("14240331547")</f>
        <v>14240331547</v>
      </c>
      <c r="I23" s="7" t="s">
        <v>29</v>
      </c>
      <c r="J23" s="7" t="s">
        <v>30</v>
      </c>
      <c r="K23" s="7" t="str">
        <f>CONCATENATE("")</f>
        <v/>
      </c>
      <c r="L23" s="7" t="str">
        <f>CONCATENATE("10 10.1 4b")</f>
        <v>10 10.1 4b</v>
      </c>
      <c r="M23" s="7" t="str">
        <f>CONCATENATE("MCZNZE48A17F722S")</f>
        <v>MCZNZE48A17F722S</v>
      </c>
      <c r="N23" s="7" t="s">
        <v>77</v>
      </c>
      <c r="O23" s="7"/>
      <c r="P23" s="8">
        <v>44524</v>
      </c>
      <c r="Q23" s="7" t="s">
        <v>31</v>
      </c>
      <c r="R23" s="7" t="s">
        <v>32</v>
      </c>
      <c r="S23" s="7" t="s">
        <v>33</v>
      </c>
      <c r="T23" s="7"/>
      <c r="U23" s="7" t="s">
        <v>34</v>
      </c>
      <c r="V23" s="7">
        <v>368.06</v>
      </c>
      <c r="W23" s="7">
        <v>158.71</v>
      </c>
      <c r="X23" s="7">
        <v>146.56</v>
      </c>
      <c r="Y23" s="7">
        <v>0</v>
      </c>
      <c r="Z23" s="7">
        <v>62.79</v>
      </c>
    </row>
    <row r="24" spans="1:26" x14ac:dyDescent="0.35">
      <c r="A24" s="7" t="s">
        <v>27</v>
      </c>
      <c r="B24" s="7" t="s">
        <v>28</v>
      </c>
      <c r="C24" s="7" t="s">
        <v>54</v>
      </c>
      <c r="D24" s="7" t="s">
        <v>55</v>
      </c>
      <c r="E24" s="7" t="s">
        <v>36</v>
      </c>
      <c r="F24" s="7" t="s">
        <v>56</v>
      </c>
      <c r="G24" s="7">
        <v>2021</v>
      </c>
      <c r="H24" s="7" t="str">
        <f>CONCATENATE("14240343070")</f>
        <v>14240343070</v>
      </c>
      <c r="I24" s="7" t="s">
        <v>29</v>
      </c>
      <c r="J24" s="7" t="s">
        <v>30</v>
      </c>
      <c r="K24" s="7" t="str">
        <f>CONCATENATE("")</f>
        <v/>
      </c>
      <c r="L24" s="7" t="str">
        <f>CONCATENATE("10 10.1 4b")</f>
        <v>10 10.1 4b</v>
      </c>
      <c r="M24" s="7" t="str">
        <f>CONCATENATE("PLCRDN64C05G516Y")</f>
        <v>PLCRDN64C05G516Y</v>
      </c>
      <c r="N24" s="7" t="s">
        <v>78</v>
      </c>
      <c r="O24" s="7"/>
      <c r="P24" s="8">
        <v>44524</v>
      </c>
      <c r="Q24" s="7" t="s">
        <v>31</v>
      </c>
      <c r="R24" s="7" t="s">
        <v>32</v>
      </c>
      <c r="S24" s="7" t="s">
        <v>33</v>
      </c>
      <c r="T24" s="7"/>
      <c r="U24" s="7" t="s">
        <v>34</v>
      </c>
      <c r="V24" s="9">
        <v>1521.27</v>
      </c>
      <c r="W24" s="7">
        <v>655.97</v>
      </c>
      <c r="X24" s="7">
        <v>605.77</v>
      </c>
      <c r="Y24" s="7">
        <v>0</v>
      </c>
      <c r="Z24" s="7">
        <v>259.52999999999997</v>
      </c>
    </row>
    <row r="25" spans="1:26" x14ac:dyDescent="0.35">
      <c r="A25" s="7" t="s">
        <v>27</v>
      </c>
      <c r="B25" s="7" t="s">
        <v>28</v>
      </c>
      <c r="C25" s="7" t="s">
        <v>54</v>
      </c>
      <c r="D25" s="7" t="s">
        <v>55</v>
      </c>
      <c r="E25" s="7" t="s">
        <v>42</v>
      </c>
      <c r="F25" s="7" t="s">
        <v>79</v>
      </c>
      <c r="G25" s="7">
        <v>2021</v>
      </c>
      <c r="H25" s="7" t="str">
        <f>CONCATENATE("14240463431")</f>
        <v>14240463431</v>
      </c>
      <c r="I25" s="7" t="s">
        <v>29</v>
      </c>
      <c r="J25" s="7" t="s">
        <v>30</v>
      </c>
      <c r="K25" s="7" t="str">
        <f>CONCATENATE("")</f>
        <v/>
      </c>
      <c r="L25" s="7" t="str">
        <f>CONCATENATE("10 10.1 4b")</f>
        <v>10 10.1 4b</v>
      </c>
      <c r="M25" s="7" t="str">
        <f>CONCATENATE("CPRGRL63C23B727S")</f>
        <v>CPRGRL63C23B727S</v>
      </c>
      <c r="N25" s="7" t="s">
        <v>80</v>
      </c>
      <c r="O25" s="7"/>
      <c r="P25" s="8">
        <v>44524</v>
      </c>
      <c r="Q25" s="7" t="s">
        <v>31</v>
      </c>
      <c r="R25" s="7" t="s">
        <v>32</v>
      </c>
      <c r="S25" s="7" t="s">
        <v>33</v>
      </c>
      <c r="T25" s="7"/>
      <c r="U25" s="7" t="s">
        <v>34</v>
      </c>
      <c r="V25" s="9">
        <v>3295.15</v>
      </c>
      <c r="W25" s="9">
        <v>1420.87</v>
      </c>
      <c r="X25" s="9">
        <v>1312.13</v>
      </c>
      <c r="Y25" s="7">
        <v>0</v>
      </c>
      <c r="Z25" s="7">
        <v>562.15</v>
      </c>
    </row>
    <row r="26" spans="1:26" x14ac:dyDescent="0.35">
      <c r="A26" s="7" t="s">
        <v>27</v>
      </c>
      <c r="B26" s="7" t="s">
        <v>28</v>
      </c>
      <c r="C26" s="7" t="s">
        <v>54</v>
      </c>
      <c r="D26" s="7" t="s">
        <v>55</v>
      </c>
      <c r="E26" s="7" t="s">
        <v>40</v>
      </c>
      <c r="F26" s="7" t="s">
        <v>81</v>
      </c>
      <c r="G26" s="7">
        <v>2021</v>
      </c>
      <c r="H26" s="7" t="str">
        <f>CONCATENATE("14240555368")</f>
        <v>14240555368</v>
      </c>
      <c r="I26" s="7" t="s">
        <v>29</v>
      </c>
      <c r="J26" s="7" t="s">
        <v>30</v>
      </c>
      <c r="K26" s="7" t="str">
        <f>CONCATENATE("")</f>
        <v/>
      </c>
      <c r="L26" s="7" t="str">
        <f>CONCATENATE("10 10.1 4b")</f>
        <v>10 10.1 4b</v>
      </c>
      <c r="M26" s="7" t="str">
        <f>CONCATENATE("PSQMRC65L13F415F")</f>
        <v>PSQMRC65L13F415F</v>
      </c>
      <c r="N26" s="7" t="s">
        <v>82</v>
      </c>
      <c r="O26" s="7"/>
      <c r="P26" s="8">
        <v>44524</v>
      </c>
      <c r="Q26" s="7" t="s">
        <v>31</v>
      </c>
      <c r="R26" s="7" t="s">
        <v>32</v>
      </c>
      <c r="S26" s="7" t="s">
        <v>33</v>
      </c>
      <c r="T26" s="7"/>
      <c r="U26" s="7" t="s">
        <v>34</v>
      </c>
      <c r="V26" s="9">
        <v>4513.6000000000004</v>
      </c>
      <c r="W26" s="9">
        <v>1946.26</v>
      </c>
      <c r="X26" s="9">
        <v>1797.32</v>
      </c>
      <c r="Y26" s="7">
        <v>0</v>
      </c>
      <c r="Z26" s="7">
        <v>770.02</v>
      </c>
    </row>
    <row r="27" spans="1:26" x14ac:dyDescent="0.35">
      <c r="A27" s="7" t="s">
        <v>27</v>
      </c>
      <c r="B27" s="7" t="s">
        <v>28</v>
      </c>
      <c r="C27" s="7" t="s">
        <v>54</v>
      </c>
      <c r="D27" s="7" t="s">
        <v>55</v>
      </c>
      <c r="E27" s="7" t="s">
        <v>38</v>
      </c>
      <c r="F27" s="7" t="s">
        <v>83</v>
      </c>
      <c r="G27" s="7">
        <v>2021</v>
      </c>
      <c r="H27" s="7" t="str">
        <f>CONCATENATE("14240550765")</f>
        <v>14240550765</v>
      </c>
      <c r="I27" s="7" t="s">
        <v>29</v>
      </c>
      <c r="J27" s="7" t="s">
        <v>30</v>
      </c>
      <c r="K27" s="7" t="str">
        <f>CONCATENATE("")</f>
        <v/>
      </c>
      <c r="L27" s="7" t="str">
        <f>CONCATENATE("10 10.1 4b")</f>
        <v>10 10.1 4b</v>
      </c>
      <c r="M27" s="7" t="str">
        <f>CONCATENATE("02266590443")</f>
        <v>02266590443</v>
      </c>
      <c r="N27" s="7" t="s">
        <v>84</v>
      </c>
      <c r="O27" s="7"/>
      <c r="P27" s="8">
        <v>44524</v>
      </c>
      <c r="Q27" s="7" t="s">
        <v>31</v>
      </c>
      <c r="R27" s="7" t="s">
        <v>32</v>
      </c>
      <c r="S27" s="7" t="s">
        <v>33</v>
      </c>
      <c r="T27" s="7"/>
      <c r="U27" s="7" t="s">
        <v>34</v>
      </c>
      <c r="V27" s="7">
        <v>705.02</v>
      </c>
      <c r="W27" s="7">
        <v>304</v>
      </c>
      <c r="X27" s="7">
        <v>280.74</v>
      </c>
      <c r="Y27" s="7">
        <v>0</v>
      </c>
      <c r="Z27" s="7">
        <v>120.28</v>
      </c>
    </row>
    <row r="28" spans="1:26" x14ac:dyDescent="0.35">
      <c r="A28" s="7" t="s">
        <v>27</v>
      </c>
      <c r="B28" s="7" t="s">
        <v>28</v>
      </c>
      <c r="C28" s="7" t="s">
        <v>54</v>
      </c>
      <c r="D28" s="7" t="s">
        <v>55</v>
      </c>
      <c r="E28" s="7" t="s">
        <v>40</v>
      </c>
      <c r="F28" s="7" t="s">
        <v>81</v>
      </c>
      <c r="G28" s="7">
        <v>2021</v>
      </c>
      <c r="H28" s="7" t="str">
        <f>CONCATENATE("14240541350")</f>
        <v>14240541350</v>
      </c>
      <c r="I28" s="7" t="s">
        <v>29</v>
      </c>
      <c r="J28" s="7" t="s">
        <v>30</v>
      </c>
      <c r="K28" s="7" t="str">
        <f>CONCATENATE("")</f>
        <v/>
      </c>
      <c r="L28" s="7" t="str">
        <f>CONCATENATE("10 10.1 4b")</f>
        <v>10 10.1 4b</v>
      </c>
      <c r="M28" s="7" t="str">
        <f>CONCATENATE("PSQRTD63B01H769A")</f>
        <v>PSQRTD63B01H769A</v>
      </c>
      <c r="N28" s="7" t="s">
        <v>85</v>
      </c>
      <c r="O28" s="7"/>
      <c r="P28" s="8">
        <v>44524</v>
      </c>
      <c r="Q28" s="7" t="s">
        <v>31</v>
      </c>
      <c r="R28" s="7" t="s">
        <v>32</v>
      </c>
      <c r="S28" s="7" t="s">
        <v>33</v>
      </c>
      <c r="T28" s="7"/>
      <c r="U28" s="7" t="s">
        <v>34</v>
      </c>
      <c r="V28" s="9">
        <v>3830.35</v>
      </c>
      <c r="W28" s="9">
        <v>1651.65</v>
      </c>
      <c r="X28" s="9">
        <v>1525.25</v>
      </c>
      <c r="Y28" s="7">
        <v>0</v>
      </c>
      <c r="Z28" s="7">
        <v>653.45000000000005</v>
      </c>
    </row>
    <row r="29" spans="1:26" x14ac:dyDescent="0.35">
      <c r="A29" s="7" t="s">
        <v>27</v>
      </c>
      <c r="B29" s="7" t="s">
        <v>28</v>
      </c>
      <c r="C29" s="7" t="s">
        <v>54</v>
      </c>
      <c r="D29" s="7" t="s">
        <v>55</v>
      </c>
      <c r="E29" s="7" t="s">
        <v>42</v>
      </c>
      <c r="F29" s="7" t="s">
        <v>79</v>
      </c>
      <c r="G29" s="7">
        <v>2021</v>
      </c>
      <c r="H29" s="7" t="str">
        <f>CONCATENATE("14240557505")</f>
        <v>14240557505</v>
      </c>
      <c r="I29" s="7" t="s">
        <v>29</v>
      </c>
      <c r="J29" s="7" t="s">
        <v>30</v>
      </c>
      <c r="K29" s="7" t="str">
        <f>CONCATENATE("")</f>
        <v/>
      </c>
      <c r="L29" s="7" t="str">
        <f>CONCATENATE("10 10.1 4b")</f>
        <v>10 10.1 4b</v>
      </c>
      <c r="M29" s="7" t="str">
        <f>CONCATENATE("NSPGNN54R01H321R")</f>
        <v>NSPGNN54R01H321R</v>
      </c>
      <c r="N29" s="7" t="s">
        <v>86</v>
      </c>
      <c r="O29" s="7"/>
      <c r="P29" s="8">
        <v>44524</v>
      </c>
      <c r="Q29" s="7" t="s">
        <v>31</v>
      </c>
      <c r="R29" s="7" t="s">
        <v>32</v>
      </c>
      <c r="S29" s="7" t="s">
        <v>33</v>
      </c>
      <c r="T29" s="7"/>
      <c r="U29" s="7" t="s">
        <v>34</v>
      </c>
      <c r="V29" s="9">
        <v>2628.47</v>
      </c>
      <c r="W29" s="9">
        <v>1133.4000000000001</v>
      </c>
      <c r="X29" s="9">
        <v>1046.6600000000001</v>
      </c>
      <c r="Y29" s="7">
        <v>0</v>
      </c>
      <c r="Z29" s="7">
        <v>448.41</v>
      </c>
    </row>
    <row r="30" spans="1:26" x14ac:dyDescent="0.35">
      <c r="A30" s="7" t="s">
        <v>27</v>
      </c>
      <c r="B30" s="7" t="s">
        <v>28</v>
      </c>
      <c r="C30" s="7" t="s">
        <v>54</v>
      </c>
      <c r="D30" s="7" t="s">
        <v>55</v>
      </c>
      <c r="E30" s="7" t="s">
        <v>40</v>
      </c>
      <c r="F30" s="7" t="s">
        <v>81</v>
      </c>
      <c r="G30" s="7">
        <v>2021</v>
      </c>
      <c r="H30" s="7" t="str">
        <f>CONCATENATE("14240558487")</f>
        <v>14240558487</v>
      </c>
      <c r="I30" s="7" t="s">
        <v>29</v>
      </c>
      <c r="J30" s="7" t="s">
        <v>30</v>
      </c>
      <c r="K30" s="7" t="str">
        <f>CONCATENATE("")</f>
        <v/>
      </c>
      <c r="L30" s="7" t="str">
        <f>CONCATENATE("10 10.1 4b")</f>
        <v>10 10.1 4b</v>
      </c>
      <c r="M30" s="7" t="str">
        <f>CONCATENATE("MNNNBL60H09F599U")</f>
        <v>MNNNBL60H09F599U</v>
      </c>
      <c r="N30" s="7" t="s">
        <v>87</v>
      </c>
      <c r="O30" s="7"/>
      <c r="P30" s="8">
        <v>44524</v>
      </c>
      <c r="Q30" s="7" t="s">
        <v>31</v>
      </c>
      <c r="R30" s="7" t="s">
        <v>32</v>
      </c>
      <c r="S30" s="7" t="s">
        <v>33</v>
      </c>
      <c r="T30" s="7"/>
      <c r="U30" s="7" t="s">
        <v>34</v>
      </c>
      <c r="V30" s="7">
        <v>676.39</v>
      </c>
      <c r="W30" s="7">
        <v>291.66000000000003</v>
      </c>
      <c r="X30" s="7">
        <v>269.33999999999997</v>
      </c>
      <c r="Y30" s="7">
        <v>0</v>
      </c>
      <c r="Z30" s="7">
        <v>115.39</v>
      </c>
    </row>
    <row r="31" spans="1:26" x14ac:dyDescent="0.35">
      <c r="A31" s="7" t="s">
        <v>27</v>
      </c>
      <c r="B31" s="7" t="s">
        <v>28</v>
      </c>
      <c r="C31" s="7" t="s">
        <v>54</v>
      </c>
      <c r="D31" s="7" t="s">
        <v>55</v>
      </c>
      <c r="E31" s="7" t="s">
        <v>36</v>
      </c>
      <c r="F31" s="7" t="s">
        <v>56</v>
      </c>
      <c r="G31" s="7">
        <v>2021</v>
      </c>
      <c r="H31" s="7" t="str">
        <f>CONCATENATE("14240593310")</f>
        <v>14240593310</v>
      </c>
      <c r="I31" s="7" t="s">
        <v>29</v>
      </c>
      <c r="J31" s="7" t="s">
        <v>30</v>
      </c>
      <c r="K31" s="7" t="str">
        <f>CONCATENATE("")</f>
        <v/>
      </c>
      <c r="L31" s="7" t="str">
        <f>CONCATENATE("10 10.1 4b")</f>
        <v>10 10.1 4b</v>
      </c>
      <c r="M31" s="7" t="str">
        <f>CONCATENATE("02273320446")</f>
        <v>02273320446</v>
      </c>
      <c r="N31" s="7" t="s">
        <v>88</v>
      </c>
      <c r="O31" s="7"/>
      <c r="P31" s="8">
        <v>44524</v>
      </c>
      <c r="Q31" s="7" t="s">
        <v>31</v>
      </c>
      <c r="R31" s="7" t="s">
        <v>32</v>
      </c>
      <c r="S31" s="7" t="s">
        <v>33</v>
      </c>
      <c r="T31" s="7"/>
      <c r="U31" s="7" t="s">
        <v>34</v>
      </c>
      <c r="V31" s="9">
        <v>3799.97</v>
      </c>
      <c r="W31" s="9">
        <v>1638.55</v>
      </c>
      <c r="X31" s="9">
        <v>1513.15</v>
      </c>
      <c r="Y31" s="7">
        <v>0</v>
      </c>
      <c r="Z31" s="7">
        <v>648.27</v>
      </c>
    </row>
    <row r="32" spans="1:26" x14ac:dyDescent="0.35">
      <c r="A32" s="7" t="s">
        <v>27</v>
      </c>
      <c r="B32" s="7" t="s">
        <v>28</v>
      </c>
      <c r="C32" s="7" t="s">
        <v>54</v>
      </c>
      <c r="D32" s="7" t="s">
        <v>55</v>
      </c>
      <c r="E32" s="7" t="s">
        <v>36</v>
      </c>
      <c r="F32" s="7" t="s">
        <v>56</v>
      </c>
      <c r="G32" s="7">
        <v>2021</v>
      </c>
      <c r="H32" s="7" t="str">
        <f>CONCATENATE("14240594557")</f>
        <v>14240594557</v>
      </c>
      <c r="I32" s="7" t="s">
        <v>29</v>
      </c>
      <c r="J32" s="7" t="s">
        <v>30</v>
      </c>
      <c r="K32" s="7" t="str">
        <f>CONCATENATE("")</f>
        <v/>
      </c>
      <c r="L32" s="7" t="str">
        <f>CONCATENATE("10 10.1 4b")</f>
        <v>10 10.1 4b</v>
      </c>
      <c r="M32" s="7" t="str">
        <f>CONCATENATE("MCCRRT80B22D542Q")</f>
        <v>MCCRRT80B22D542Q</v>
      </c>
      <c r="N32" s="7" t="s">
        <v>89</v>
      </c>
      <c r="O32" s="7"/>
      <c r="P32" s="8">
        <v>44524</v>
      </c>
      <c r="Q32" s="7" t="s">
        <v>31</v>
      </c>
      <c r="R32" s="7" t="s">
        <v>32</v>
      </c>
      <c r="S32" s="7" t="s">
        <v>33</v>
      </c>
      <c r="T32" s="7"/>
      <c r="U32" s="7" t="s">
        <v>34</v>
      </c>
      <c r="V32" s="9">
        <v>1285.8900000000001</v>
      </c>
      <c r="W32" s="7">
        <v>554.48</v>
      </c>
      <c r="X32" s="7">
        <v>512.04</v>
      </c>
      <c r="Y32" s="7">
        <v>0</v>
      </c>
      <c r="Z32" s="7">
        <v>219.37</v>
      </c>
    </row>
    <row r="33" spans="1:26" x14ac:dyDescent="0.35">
      <c r="A33" s="7" t="s">
        <v>27</v>
      </c>
      <c r="B33" s="7" t="s">
        <v>28</v>
      </c>
      <c r="C33" s="7" t="s">
        <v>54</v>
      </c>
      <c r="D33" s="7" t="s">
        <v>55</v>
      </c>
      <c r="E33" s="7" t="s">
        <v>44</v>
      </c>
      <c r="F33" s="7" t="s">
        <v>44</v>
      </c>
      <c r="G33" s="7">
        <v>2021</v>
      </c>
      <c r="H33" s="7" t="str">
        <f>CONCATENATE("14240653726")</f>
        <v>14240653726</v>
      </c>
      <c r="I33" s="7" t="s">
        <v>29</v>
      </c>
      <c r="J33" s="7" t="s">
        <v>30</v>
      </c>
      <c r="K33" s="7" t="str">
        <f>CONCATENATE("")</f>
        <v/>
      </c>
      <c r="L33" s="7" t="str">
        <f>CONCATENATE("10 10.1 4b")</f>
        <v>10 10.1 4b</v>
      </c>
      <c r="M33" s="7" t="str">
        <f>CONCATENATE("MLAGRL41L11D096U")</f>
        <v>MLAGRL41L11D096U</v>
      </c>
      <c r="N33" s="7" t="s">
        <v>90</v>
      </c>
      <c r="O33" s="7"/>
      <c r="P33" s="8">
        <v>44524</v>
      </c>
      <c r="Q33" s="7" t="s">
        <v>31</v>
      </c>
      <c r="R33" s="7" t="s">
        <v>32</v>
      </c>
      <c r="S33" s="7" t="s">
        <v>33</v>
      </c>
      <c r="T33" s="7"/>
      <c r="U33" s="7" t="s">
        <v>34</v>
      </c>
      <c r="V33" s="9">
        <v>1436.79</v>
      </c>
      <c r="W33" s="7">
        <v>619.54</v>
      </c>
      <c r="X33" s="7">
        <v>572.13</v>
      </c>
      <c r="Y33" s="7">
        <v>0</v>
      </c>
      <c r="Z33" s="7">
        <v>245.12</v>
      </c>
    </row>
    <row r="34" spans="1:26" x14ac:dyDescent="0.35">
      <c r="A34" s="7" t="s">
        <v>27</v>
      </c>
      <c r="B34" s="7" t="s">
        <v>28</v>
      </c>
      <c r="C34" s="7" t="s">
        <v>54</v>
      </c>
      <c r="D34" s="7" t="s">
        <v>55</v>
      </c>
      <c r="E34" s="7" t="s">
        <v>44</v>
      </c>
      <c r="F34" s="7" t="s">
        <v>44</v>
      </c>
      <c r="G34" s="7">
        <v>2021</v>
      </c>
      <c r="H34" s="7" t="str">
        <f>CONCATENATE("14240783457")</f>
        <v>14240783457</v>
      </c>
      <c r="I34" s="7" t="s">
        <v>29</v>
      </c>
      <c r="J34" s="7" t="s">
        <v>30</v>
      </c>
      <c r="K34" s="7" t="str">
        <f>CONCATENATE("")</f>
        <v/>
      </c>
      <c r="L34" s="7" t="str">
        <f>CONCATENATE("10 10.1 4b")</f>
        <v>10 10.1 4b</v>
      </c>
      <c r="M34" s="7" t="str">
        <f>CONCATENATE("DMNPQL74T13H769J")</f>
        <v>DMNPQL74T13H769J</v>
      </c>
      <c r="N34" s="7" t="s">
        <v>91</v>
      </c>
      <c r="O34" s="7"/>
      <c r="P34" s="8">
        <v>44524</v>
      </c>
      <c r="Q34" s="7" t="s">
        <v>31</v>
      </c>
      <c r="R34" s="7" t="s">
        <v>32</v>
      </c>
      <c r="S34" s="7" t="s">
        <v>33</v>
      </c>
      <c r="T34" s="7"/>
      <c r="U34" s="7" t="s">
        <v>34</v>
      </c>
      <c r="V34" s="9">
        <v>5288.26</v>
      </c>
      <c r="W34" s="9">
        <v>2280.3000000000002</v>
      </c>
      <c r="X34" s="9">
        <v>2105.79</v>
      </c>
      <c r="Y34" s="7">
        <v>0</v>
      </c>
      <c r="Z34" s="7">
        <v>902.17</v>
      </c>
    </row>
    <row r="35" spans="1:26" x14ac:dyDescent="0.35">
      <c r="A35" s="7" t="s">
        <v>27</v>
      </c>
      <c r="B35" s="7" t="s">
        <v>28</v>
      </c>
      <c r="C35" s="7" t="s">
        <v>54</v>
      </c>
      <c r="D35" s="7" t="s">
        <v>55</v>
      </c>
      <c r="E35" s="7" t="s">
        <v>44</v>
      </c>
      <c r="F35" s="7" t="s">
        <v>44</v>
      </c>
      <c r="G35" s="7">
        <v>2021</v>
      </c>
      <c r="H35" s="7" t="str">
        <f>CONCATENATE("14240654013")</f>
        <v>14240654013</v>
      </c>
      <c r="I35" s="7" t="s">
        <v>29</v>
      </c>
      <c r="J35" s="7" t="s">
        <v>30</v>
      </c>
      <c r="K35" s="7" t="str">
        <f>CONCATENATE("")</f>
        <v/>
      </c>
      <c r="L35" s="7" t="str">
        <f>CONCATENATE("10 10.1 4b")</f>
        <v>10 10.1 4b</v>
      </c>
      <c r="M35" s="7" t="str">
        <f>CONCATENATE("CPCFRN66T53G005O")</f>
        <v>CPCFRN66T53G005O</v>
      </c>
      <c r="N35" s="7" t="s">
        <v>92</v>
      </c>
      <c r="O35" s="7"/>
      <c r="P35" s="8">
        <v>44524</v>
      </c>
      <c r="Q35" s="7" t="s">
        <v>31</v>
      </c>
      <c r="R35" s="7" t="s">
        <v>32</v>
      </c>
      <c r="S35" s="7" t="s">
        <v>33</v>
      </c>
      <c r="T35" s="7"/>
      <c r="U35" s="7" t="s">
        <v>34</v>
      </c>
      <c r="V35" s="9">
        <v>3654.6</v>
      </c>
      <c r="W35" s="9">
        <v>1575.86</v>
      </c>
      <c r="X35" s="9">
        <v>1455.26</v>
      </c>
      <c r="Y35" s="7">
        <v>0</v>
      </c>
      <c r="Z35" s="7">
        <v>623.48</v>
      </c>
    </row>
    <row r="36" spans="1:26" x14ac:dyDescent="0.35">
      <c r="A36" s="7" t="s">
        <v>27</v>
      </c>
      <c r="B36" s="7" t="s">
        <v>28</v>
      </c>
      <c r="C36" s="7" t="s">
        <v>54</v>
      </c>
      <c r="D36" s="7" t="s">
        <v>55</v>
      </c>
      <c r="E36" s="7" t="s">
        <v>44</v>
      </c>
      <c r="F36" s="7" t="s">
        <v>44</v>
      </c>
      <c r="G36" s="7">
        <v>2021</v>
      </c>
      <c r="H36" s="7" t="str">
        <f>CONCATENATE("14240668054")</f>
        <v>14240668054</v>
      </c>
      <c r="I36" s="7" t="s">
        <v>29</v>
      </c>
      <c r="J36" s="7" t="s">
        <v>30</v>
      </c>
      <c r="K36" s="7" t="str">
        <f>CONCATENATE("")</f>
        <v/>
      </c>
      <c r="L36" s="7" t="str">
        <f>CONCATENATE("10 10.1 4b")</f>
        <v>10 10.1 4b</v>
      </c>
      <c r="M36" s="7" t="str">
        <f>CONCATENATE("CCRBRN50B09H321J")</f>
        <v>CCRBRN50B09H321J</v>
      </c>
      <c r="N36" s="7" t="s">
        <v>93</v>
      </c>
      <c r="O36" s="7"/>
      <c r="P36" s="8">
        <v>44524</v>
      </c>
      <c r="Q36" s="7" t="s">
        <v>31</v>
      </c>
      <c r="R36" s="7" t="s">
        <v>32</v>
      </c>
      <c r="S36" s="7" t="s">
        <v>33</v>
      </c>
      <c r="T36" s="7"/>
      <c r="U36" s="7" t="s">
        <v>34</v>
      </c>
      <c r="V36" s="9">
        <v>4331.16</v>
      </c>
      <c r="W36" s="9">
        <v>1867.6</v>
      </c>
      <c r="X36" s="9">
        <v>1724.67</v>
      </c>
      <c r="Y36" s="7">
        <v>0</v>
      </c>
      <c r="Z36" s="7">
        <v>738.89</v>
      </c>
    </row>
    <row r="37" spans="1:26" x14ac:dyDescent="0.35">
      <c r="A37" s="7" t="s">
        <v>27</v>
      </c>
      <c r="B37" s="7" t="s">
        <v>28</v>
      </c>
      <c r="C37" s="7" t="s">
        <v>54</v>
      </c>
      <c r="D37" s="7" t="s">
        <v>55</v>
      </c>
      <c r="E37" s="7" t="s">
        <v>44</v>
      </c>
      <c r="F37" s="7" t="s">
        <v>44</v>
      </c>
      <c r="G37" s="7">
        <v>2021</v>
      </c>
      <c r="H37" s="7" t="str">
        <f>CONCATENATE("14240654385")</f>
        <v>14240654385</v>
      </c>
      <c r="I37" s="7" t="s">
        <v>29</v>
      </c>
      <c r="J37" s="7" t="s">
        <v>30</v>
      </c>
      <c r="K37" s="7" t="str">
        <f>CONCATENATE("")</f>
        <v/>
      </c>
      <c r="L37" s="7" t="str">
        <f>CONCATENATE("10 10.1 4b")</f>
        <v>10 10.1 4b</v>
      </c>
      <c r="M37" s="7" t="str">
        <f>CONCATENATE("LNCDRN68L63G005C")</f>
        <v>LNCDRN68L63G005C</v>
      </c>
      <c r="N37" s="7" t="s">
        <v>94</v>
      </c>
      <c r="O37" s="7"/>
      <c r="P37" s="8">
        <v>44524</v>
      </c>
      <c r="Q37" s="7" t="s">
        <v>31</v>
      </c>
      <c r="R37" s="7" t="s">
        <v>32</v>
      </c>
      <c r="S37" s="7" t="s">
        <v>33</v>
      </c>
      <c r="T37" s="7"/>
      <c r="U37" s="7" t="s">
        <v>34</v>
      </c>
      <c r="V37" s="9">
        <v>1937.7</v>
      </c>
      <c r="W37" s="7">
        <v>835.54</v>
      </c>
      <c r="X37" s="7">
        <v>771.59</v>
      </c>
      <c r="Y37" s="7">
        <v>0</v>
      </c>
      <c r="Z37" s="7">
        <v>330.57</v>
      </c>
    </row>
    <row r="38" spans="1:26" x14ac:dyDescent="0.35">
      <c r="A38" s="7" t="s">
        <v>27</v>
      </c>
      <c r="B38" s="7" t="s">
        <v>28</v>
      </c>
      <c r="C38" s="7" t="s">
        <v>54</v>
      </c>
      <c r="D38" s="7" t="s">
        <v>55</v>
      </c>
      <c r="E38" s="7" t="s">
        <v>44</v>
      </c>
      <c r="F38" s="7" t="s">
        <v>44</v>
      </c>
      <c r="G38" s="7">
        <v>2021</v>
      </c>
      <c r="H38" s="7" t="str">
        <f>CONCATENATE("14240786351")</f>
        <v>14240786351</v>
      </c>
      <c r="I38" s="7" t="s">
        <v>29</v>
      </c>
      <c r="J38" s="7" t="s">
        <v>30</v>
      </c>
      <c r="K38" s="7" t="str">
        <f>CONCATENATE("")</f>
        <v/>
      </c>
      <c r="L38" s="7" t="str">
        <f>CONCATENATE("10 10.1 4b")</f>
        <v>10 10.1 4b</v>
      </c>
      <c r="M38" s="7" t="str">
        <f>CONCATENATE("LNCLCU56M70G005T")</f>
        <v>LNCLCU56M70G005T</v>
      </c>
      <c r="N38" s="7" t="s">
        <v>95</v>
      </c>
      <c r="O38" s="7"/>
      <c r="P38" s="8">
        <v>44524</v>
      </c>
      <c r="Q38" s="7" t="s">
        <v>31</v>
      </c>
      <c r="R38" s="7" t="s">
        <v>32</v>
      </c>
      <c r="S38" s="7" t="s">
        <v>33</v>
      </c>
      <c r="T38" s="7"/>
      <c r="U38" s="7" t="s">
        <v>34</v>
      </c>
      <c r="V38" s="9">
        <v>7344.13</v>
      </c>
      <c r="W38" s="9">
        <v>3166.79</v>
      </c>
      <c r="X38" s="9">
        <v>2924.43</v>
      </c>
      <c r="Y38" s="7">
        <v>0</v>
      </c>
      <c r="Z38" s="9">
        <v>1252.9100000000001</v>
      </c>
    </row>
    <row r="39" spans="1:26" x14ac:dyDescent="0.35">
      <c r="A39" s="7" t="s">
        <v>27</v>
      </c>
      <c r="B39" s="7" t="s">
        <v>28</v>
      </c>
      <c r="C39" s="7" t="s">
        <v>54</v>
      </c>
      <c r="D39" s="7" t="s">
        <v>55</v>
      </c>
      <c r="E39" s="7" t="s">
        <v>40</v>
      </c>
      <c r="F39" s="7" t="s">
        <v>81</v>
      </c>
      <c r="G39" s="7">
        <v>2021</v>
      </c>
      <c r="H39" s="7" t="str">
        <f>CONCATENATE("14240662172")</f>
        <v>14240662172</v>
      </c>
      <c r="I39" s="7" t="s">
        <v>29</v>
      </c>
      <c r="J39" s="7" t="s">
        <v>30</v>
      </c>
      <c r="K39" s="7" t="str">
        <f>CONCATENATE("")</f>
        <v/>
      </c>
      <c r="L39" s="7" t="str">
        <f>CONCATENATE("10 10.1 4b")</f>
        <v>10 10.1 4b</v>
      </c>
      <c r="M39" s="7" t="str">
        <f>CONCATENATE("GLNMRK80E14D542J")</f>
        <v>GLNMRK80E14D542J</v>
      </c>
      <c r="N39" s="7" t="s">
        <v>96</v>
      </c>
      <c r="O39" s="7"/>
      <c r="P39" s="8">
        <v>44524</v>
      </c>
      <c r="Q39" s="7" t="s">
        <v>31</v>
      </c>
      <c r="R39" s="7" t="s">
        <v>32</v>
      </c>
      <c r="S39" s="7" t="s">
        <v>33</v>
      </c>
      <c r="T39" s="7"/>
      <c r="U39" s="7" t="s">
        <v>34</v>
      </c>
      <c r="V39" s="9">
        <v>1684.33</v>
      </c>
      <c r="W39" s="7">
        <v>726.28</v>
      </c>
      <c r="X39" s="7">
        <v>670.7</v>
      </c>
      <c r="Y39" s="7">
        <v>0</v>
      </c>
      <c r="Z39" s="7">
        <v>287.35000000000002</v>
      </c>
    </row>
    <row r="40" spans="1:26" x14ac:dyDescent="0.35">
      <c r="A40" s="7" t="s">
        <v>27</v>
      </c>
      <c r="B40" s="7" t="s">
        <v>28</v>
      </c>
      <c r="C40" s="7" t="s">
        <v>54</v>
      </c>
      <c r="D40" s="7" t="s">
        <v>55</v>
      </c>
      <c r="E40" s="7" t="s">
        <v>40</v>
      </c>
      <c r="F40" s="7" t="s">
        <v>81</v>
      </c>
      <c r="G40" s="7">
        <v>2021</v>
      </c>
      <c r="H40" s="7" t="str">
        <f>CONCATENATE("14240663543")</f>
        <v>14240663543</v>
      </c>
      <c r="I40" s="7" t="s">
        <v>29</v>
      </c>
      <c r="J40" s="7" t="s">
        <v>30</v>
      </c>
      <c r="K40" s="7" t="str">
        <f>CONCATENATE("")</f>
        <v/>
      </c>
      <c r="L40" s="7" t="str">
        <f>CONCATENATE("10 10.1 4b")</f>
        <v>10 10.1 4b</v>
      </c>
      <c r="M40" s="7" t="str">
        <f>CONCATENATE("GLNMRK80E14D542J")</f>
        <v>GLNMRK80E14D542J</v>
      </c>
      <c r="N40" s="7" t="s">
        <v>96</v>
      </c>
      <c r="O40" s="7"/>
      <c r="P40" s="8">
        <v>44524</v>
      </c>
      <c r="Q40" s="7" t="s">
        <v>31</v>
      </c>
      <c r="R40" s="7" t="s">
        <v>32</v>
      </c>
      <c r="S40" s="7" t="s">
        <v>33</v>
      </c>
      <c r="T40" s="7"/>
      <c r="U40" s="7" t="s">
        <v>34</v>
      </c>
      <c r="V40" s="9">
        <v>1097.43</v>
      </c>
      <c r="W40" s="7">
        <v>473.21</v>
      </c>
      <c r="X40" s="7">
        <v>437</v>
      </c>
      <c r="Y40" s="7">
        <v>0</v>
      </c>
      <c r="Z40" s="7">
        <v>187.22</v>
      </c>
    </row>
    <row r="41" spans="1:26" x14ac:dyDescent="0.35">
      <c r="A41" s="7" t="s">
        <v>27</v>
      </c>
      <c r="B41" s="7" t="s">
        <v>28</v>
      </c>
      <c r="C41" s="7" t="s">
        <v>54</v>
      </c>
      <c r="D41" s="7" t="s">
        <v>55</v>
      </c>
      <c r="E41" s="7" t="s">
        <v>35</v>
      </c>
      <c r="F41" s="7" t="s">
        <v>47</v>
      </c>
      <c r="G41" s="7">
        <v>2021</v>
      </c>
      <c r="H41" s="7" t="str">
        <f>CONCATENATE("14240679549")</f>
        <v>14240679549</v>
      </c>
      <c r="I41" s="7" t="s">
        <v>29</v>
      </c>
      <c r="J41" s="7" t="s">
        <v>30</v>
      </c>
      <c r="K41" s="7" t="str">
        <f>CONCATENATE("")</f>
        <v/>
      </c>
      <c r="L41" s="7" t="str">
        <f>CONCATENATE("10 10.1 4b")</f>
        <v>10 10.1 4b</v>
      </c>
      <c r="M41" s="7" t="str">
        <f>CONCATENATE("SCNGNN59M12G137P")</f>
        <v>SCNGNN59M12G137P</v>
      </c>
      <c r="N41" s="7" t="s">
        <v>97</v>
      </c>
      <c r="O41" s="7"/>
      <c r="P41" s="8">
        <v>44524</v>
      </c>
      <c r="Q41" s="7" t="s">
        <v>31</v>
      </c>
      <c r="R41" s="7" t="s">
        <v>32</v>
      </c>
      <c r="S41" s="7" t="s">
        <v>33</v>
      </c>
      <c r="T41" s="7"/>
      <c r="U41" s="7" t="s">
        <v>34</v>
      </c>
      <c r="V41" s="9">
        <v>3894.16</v>
      </c>
      <c r="W41" s="9">
        <v>1679.16</v>
      </c>
      <c r="X41" s="9">
        <v>1550.65</v>
      </c>
      <c r="Y41" s="7">
        <v>0</v>
      </c>
      <c r="Z41" s="7">
        <v>664.35</v>
      </c>
    </row>
    <row r="42" spans="1:26" x14ac:dyDescent="0.35">
      <c r="A42" s="7" t="s">
        <v>27</v>
      </c>
      <c r="B42" s="7" t="s">
        <v>28</v>
      </c>
      <c r="C42" s="7" t="s">
        <v>54</v>
      </c>
      <c r="D42" s="7" t="s">
        <v>55</v>
      </c>
      <c r="E42" s="7" t="s">
        <v>40</v>
      </c>
      <c r="F42" s="7" t="s">
        <v>81</v>
      </c>
      <c r="G42" s="7">
        <v>2021</v>
      </c>
      <c r="H42" s="7" t="str">
        <f>CONCATENATE("14240678194")</f>
        <v>14240678194</v>
      </c>
      <c r="I42" s="7" t="s">
        <v>29</v>
      </c>
      <c r="J42" s="7" t="s">
        <v>30</v>
      </c>
      <c r="K42" s="7" t="str">
        <f>CONCATENATE("")</f>
        <v/>
      </c>
      <c r="L42" s="7" t="str">
        <f>CONCATENATE("10 10.1 4b")</f>
        <v>10 10.1 4b</v>
      </c>
      <c r="M42" s="7" t="str">
        <f>CONCATENATE("TMSGPT63C12F415T")</f>
        <v>TMSGPT63C12F415T</v>
      </c>
      <c r="N42" s="7" t="s">
        <v>98</v>
      </c>
      <c r="O42" s="7"/>
      <c r="P42" s="8">
        <v>44524</v>
      </c>
      <c r="Q42" s="7" t="s">
        <v>31</v>
      </c>
      <c r="R42" s="7" t="s">
        <v>32</v>
      </c>
      <c r="S42" s="7" t="s">
        <v>33</v>
      </c>
      <c r="T42" s="7"/>
      <c r="U42" s="7" t="s">
        <v>34</v>
      </c>
      <c r="V42" s="9">
        <v>4182.43</v>
      </c>
      <c r="W42" s="9">
        <v>1803.46</v>
      </c>
      <c r="X42" s="9">
        <v>1665.44</v>
      </c>
      <c r="Y42" s="7">
        <v>0</v>
      </c>
      <c r="Z42" s="7">
        <v>713.53</v>
      </c>
    </row>
    <row r="43" spans="1:26" x14ac:dyDescent="0.35">
      <c r="A43" s="7" t="s">
        <v>27</v>
      </c>
      <c r="B43" s="7" t="s">
        <v>28</v>
      </c>
      <c r="C43" s="7" t="s">
        <v>54</v>
      </c>
      <c r="D43" s="7" t="s">
        <v>55</v>
      </c>
      <c r="E43" s="7" t="s">
        <v>40</v>
      </c>
      <c r="F43" s="7" t="s">
        <v>81</v>
      </c>
      <c r="G43" s="7">
        <v>2021</v>
      </c>
      <c r="H43" s="7" t="str">
        <f>CONCATENATE("14240678756")</f>
        <v>14240678756</v>
      </c>
      <c r="I43" s="7" t="s">
        <v>29</v>
      </c>
      <c r="J43" s="7" t="s">
        <v>30</v>
      </c>
      <c r="K43" s="7" t="str">
        <f>CONCATENATE("")</f>
        <v/>
      </c>
      <c r="L43" s="7" t="str">
        <f>CONCATENATE("10 10.1 4b")</f>
        <v>10 10.1 4b</v>
      </c>
      <c r="M43" s="7" t="str">
        <f>CONCATENATE("01194690440")</f>
        <v>01194690440</v>
      </c>
      <c r="N43" s="7" t="s">
        <v>99</v>
      </c>
      <c r="O43" s="7"/>
      <c r="P43" s="8">
        <v>44524</v>
      </c>
      <c r="Q43" s="7" t="s">
        <v>31</v>
      </c>
      <c r="R43" s="7" t="s">
        <v>32</v>
      </c>
      <c r="S43" s="7" t="s">
        <v>33</v>
      </c>
      <c r="T43" s="7"/>
      <c r="U43" s="7" t="s">
        <v>34</v>
      </c>
      <c r="V43" s="9">
        <v>8907.83</v>
      </c>
      <c r="W43" s="9">
        <v>3841.06</v>
      </c>
      <c r="X43" s="9">
        <v>3547.1</v>
      </c>
      <c r="Y43" s="7">
        <v>0</v>
      </c>
      <c r="Z43" s="9">
        <v>1519.67</v>
      </c>
    </row>
    <row r="44" spans="1:26" x14ac:dyDescent="0.35">
      <c r="A44" s="7" t="s">
        <v>27</v>
      </c>
      <c r="B44" s="7" t="s">
        <v>28</v>
      </c>
      <c r="C44" s="7" t="s">
        <v>54</v>
      </c>
      <c r="D44" s="7" t="s">
        <v>55</v>
      </c>
      <c r="E44" s="7" t="s">
        <v>40</v>
      </c>
      <c r="F44" s="7" t="s">
        <v>81</v>
      </c>
      <c r="G44" s="7">
        <v>2021</v>
      </c>
      <c r="H44" s="7" t="str">
        <f>CONCATENATE("14240677378")</f>
        <v>14240677378</v>
      </c>
      <c r="I44" s="7" t="s">
        <v>29</v>
      </c>
      <c r="J44" s="7" t="s">
        <v>30</v>
      </c>
      <c r="K44" s="7" t="str">
        <f>CONCATENATE("")</f>
        <v/>
      </c>
      <c r="L44" s="7" t="str">
        <f>CONCATENATE("10 10.1 4b")</f>
        <v>10 10.1 4b</v>
      </c>
      <c r="M44" s="7" t="str">
        <f>CONCATENATE("VGNGFR64P08G516S")</f>
        <v>VGNGFR64P08G516S</v>
      </c>
      <c r="N44" s="7" t="s">
        <v>100</v>
      </c>
      <c r="O44" s="7"/>
      <c r="P44" s="8">
        <v>44524</v>
      </c>
      <c r="Q44" s="7" t="s">
        <v>31</v>
      </c>
      <c r="R44" s="7" t="s">
        <v>32</v>
      </c>
      <c r="S44" s="7" t="s">
        <v>33</v>
      </c>
      <c r="T44" s="7"/>
      <c r="U44" s="7" t="s">
        <v>34</v>
      </c>
      <c r="V44" s="9">
        <v>4456.88</v>
      </c>
      <c r="W44" s="9">
        <v>1921.81</v>
      </c>
      <c r="X44" s="9">
        <v>1774.73</v>
      </c>
      <c r="Y44" s="7">
        <v>0</v>
      </c>
      <c r="Z44" s="7">
        <v>760.34</v>
      </c>
    </row>
    <row r="45" spans="1:26" x14ac:dyDescent="0.35">
      <c r="A45" s="7" t="s">
        <v>27</v>
      </c>
      <c r="B45" s="7" t="s">
        <v>28</v>
      </c>
      <c r="C45" s="7" t="s">
        <v>54</v>
      </c>
      <c r="D45" s="7" t="s">
        <v>55</v>
      </c>
      <c r="E45" s="7" t="s">
        <v>40</v>
      </c>
      <c r="F45" s="7" t="s">
        <v>81</v>
      </c>
      <c r="G45" s="7">
        <v>2021</v>
      </c>
      <c r="H45" s="7" t="str">
        <f>CONCATENATE("14240699539")</f>
        <v>14240699539</v>
      </c>
      <c r="I45" s="7" t="s">
        <v>29</v>
      </c>
      <c r="J45" s="7" t="s">
        <v>30</v>
      </c>
      <c r="K45" s="7" t="str">
        <f>CONCATENATE("")</f>
        <v/>
      </c>
      <c r="L45" s="7" t="str">
        <f>CONCATENATE("10 10.1 4b")</f>
        <v>10 10.1 4b</v>
      </c>
      <c r="M45" s="7" t="str">
        <f>CONCATENATE("GMNPIO62B27F415D")</f>
        <v>GMNPIO62B27F415D</v>
      </c>
      <c r="N45" s="7" t="s">
        <v>101</v>
      </c>
      <c r="O45" s="7"/>
      <c r="P45" s="8">
        <v>44524</v>
      </c>
      <c r="Q45" s="7" t="s">
        <v>31</v>
      </c>
      <c r="R45" s="7" t="s">
        <v>32</v>
      </c>
      <c r="S45" s="7" t="s">
        <v>33</v>
      </c>
      <c r="T45" s="7"/>
      <c r="U45" s="7" t="s">
        <v>34</v>
      </c>
      <c r="V45" s="9">
        <v>4008.34</v>
      </c>
      <c r="W45" s="9">
        <v>1728.4</v>
      </c>
      <c r="X45" s="9">
        <v>1596.12</v>
      </c>
      <c r="Y45" s="7">
        <v>0</v>
      </c>
      <c r="Z45" s="7">
        <v>683.82</v>
      </c>
    </row>
    <row r="46" spans="1:26" x14ac:dyDescent="0.35">
      <c r="A46" s="7" t="s">
        <v>27</v>
      </c>
      <c r="B46" s="7" t="s">
        <v>28</v>
      </c>
      <c r="C46" s="7" t="s">
        <v>54</v>
      </c>
      <c r="D46" s="7" t="s">
        <v>55</v>
      </c>
      <c r="E46" s="7" t="s">
        <v>40</v>
      </c>
      <c r="F46" s="7" t="s">
        <v>81</v>
      </c>
      <c r="G46" s="7">
        <v>2021</v>
      </c>
      <c r="H46" s="7" t="str">
        <f>CONCATENATE("14240705385")</f>
        <v>14240705385</v>
      </c>
      <c r="I46" s="7" t="s">
        <v>29</v>
      </c>
      <c r="J46" s="7" t="s">
        <v>30</v>
      </c>
      <c r="K46" s="7" t="str">
        <f>CONCATENATE("")</f>
        <v/>
      </c>
      <c r="L46" s="7" t="str">
        <f>CONCATENATE("10 10.1 4b")</f>
        <v>10 10.1 4b</v>
      </c>
      <c r="M46" s="7" t="str">
        <f>CONCATENATE("PRGGNN71C13G516K")</f>
        <v>PRGGNN71C13G516K</v>
      </c>
      <c r="N46" s="7" t="s">
        <v>102</v>
      </c>
      <c r="O46" s="7"/>
      <c r="P46" s="8">
        <v>44524</v>
      </c>
      <c r="Q46" s="7" t="s">
        <v>31</v>
      </c>
      <c r="R46" s="7" t="s">
        <v>32</v>
      </c>
      <c r="S46" s="7" t="s">
        <v>33</v>
      </c>
      <c r="T46" s="7"/>
      <c r="U46" s="7" t="s">
        <v>34</v>
      </c>
      <c r="V46" s="9">
        <v>4994.93</v>
      </c>
      <c r="W46" s="9">
        <v>2153.81</v>
      </c>
      <c r="X46" s="9">
        <v>1988.98</v>
      </c>
      <c r="Y46" s="7">
        <v>0</v>
      </c>
      <c r="Z46" s="7">
        <v>852.14</v>
      </c>
    </row>
    <row r="47" spans="1:26" x14ac:dyDescent="0.35">
      <c r="A47" s="7" t="s">
        <v>27</v>
      </c>
      <c r="B47" s="7" t="s">
        <v>28</v>
      </c>
      <c r="C47" s="7" t="s">
        <v>54</v>
      </c>
      <c r="D47" s="7" t="s">
        <v>55</v>
      </c>
      <c r="E47" s="7" t="s">
        <v>40</v>
      </c>
      <c r="F47" s="7" t="s">
        <v>81</v>
      </c>
      <c r="G47" s="7">
        <v>2021</v>
      </c>
      <c r="H47" s="7" t="str">
        <f>CONCATENATE("14240720020")</f>
        <v>14240720020</v>
      </c>
      <c r="I47" s="7" t="s">
        <v>29</v>
      </c>
      <c r="J47" s="7" t="s">
        <v>30</v>
      </c>
      <c r="K47" s="7" t="str">
        <f>CONCATENATE("")</f>
        <v/>
      </c>
      <c r="L47" s="7" t="str">
        <f>CONCATENATE("10 10.1 4b")</f>
        <v>10 10.1 4b</v>
      </c>
      <c r="M47" s="7" t="str">
        <f>CONCATENATE("01925420448")</f>
        <v>01925420448</v>
      </c>
      <c r="N47" s="7" t="s">
        <v>103</v>
      </c>
      <c r="O47" s="7"/>
      <c r="P47" s="8">
        <v>44524</v>
      </c>
      <c r="Q47" s="7" t="s">
        <v>31</v>
      </c>
      <c r="R47" s="7" t="s">
        <v>32</v>
      </c>
      <c r="S47" s="7" t="s">
        <v>33</v>
      </c>
      <c r="T47" s="7"/>
      <c r="U47" s="7" t="s">
        <v>34</v>
      </c>
      <c r="V47" s="9">
        <v>9033.2800000000007</v>
      </c>
      <c r="W47" s="9">
        <v>3895.15</v>
      </c>
      <c r="X47" s="9">
        <v>3597.05</v>
      </c>
      <c r="Y47" s="7">
        <v>0</v>
      </c>
      <c r="Z47" s="9">
        <v>1541.08</v>
      </c>
    </row>
    <row r="48" spans="1:26" ht="17.5" x14ac:dyDescent="0.35">
      <c r="A48" s="7" t="s">
        <v>27</v>
      </c>
      <c r="B48" s="7" t="s">
        <v>28</v>
      </c>
      <c r="C48" s="7" t="s">
        <v>54</v>
      </c>
      <c r="D48" s="7" t="s">
        <v>55</v>
      </c>
      <c r="E48" s="7" t="s">
        <v>44</v>
      </c>
      <c r="F48" s="7" t="s">
        <v>44</v>
      </c>
      <c r="G48" s="7">
        <v>2021</v>
      </c>
      <c r="H48" s="7" t="str">
        <f>CONCATENATE("14240768441")</f>
        <v>14240768441</v>
      </c>
      <c r="I48" s="7" t="s">
        <v>29</v>
      </c>
      <c r="J48" s="7" t="s">
        <v>30</v>
      </c>
      <c r="K48" s="7" t="str">
        <f>CONCATENATE("")</f>
        <v/>
      </c>
      <c r="L48" s="7" t="str">
        <f>CONCATENATE("10 10.1 4b")</f>
        <v>10 10.1 4b</v>
      </c>
      <c r="M48" s="7" t="str">
        <f>CONCATENATE("01520680446")</f>
        <v>01520680446</v>
      </c>
      <c r="N48" s="7" t="s">
        <v>104</v>
      </c>
      <c r="O48" s="7"/>
      <c r="P48" s="8">
        <v>44524</v>
      </c>
      <c r="Q48" s="7" t="s">
        <v>31</v>
      </c>
      <c r="R48" s="7" t="s">
        <v>32</v>
      </c>
      <c r="S48" s="7" t="s">
        <v>33</v>
      </c>
      <c r="T48" s="7"/>
      <c r="U48" s="7" t="s">
        <v>34</v>
      </c>
      <c r="V48" s="9">
        <v>11174.28</v>
      </c>
      <c r="W48" s="9">
        <v>4818.3500000000004</v>
      </c>
      <c r="X48" s="9">
        <v>4449.6000000000004</v>
      </c>
      <c r="Y48" s="7">
        <v>0</v>
      </c>
      <c r="Z48" s="9">
        <v>1906.33</v>
      </c>
    </row>
    <row r="49" spans="1:26" x14ac:dyDescent="0.35">
      <c r="A49" s="7" t="s">
        <v>27</v>
      </c>
      <c r="B49" s="7" t="s">
        <v>28</v>
      </c>
      <c r="C49" s="7" t="s">
        <v>54</v>
      </c>
      <c r="D49" s="7" t="s">
        <v>55</v>
      </c>
      <c r="E49" s="7" t="s">
        <v>44</v>
      </c>
      <c r="F49" s="7" t="s">
        <v>44</v>
      </c>
      <c r="G49" s="7">
        <v>2021</v>
      </c>
      <c r="H49" s="7" t="str">
        <f>CONCATENATE("14240768144")</f>
        <v>14240768144</v>
      </c>
      <c r="I49" s="7" t="s">
        <v>29</v>
      </c>
      <c r="J49" s="7" t="s">
        <v>30</v>
      </c>
      <c r="K49" s="7" t="str">
        <f>CONCATENATE("")</f>
        <v/>
      </c>
      <c r="L49" s="7" t="str">
        <f>CONCATENATE("10 10.1 4b")</f>
        <v>10 10.1 4b</v>
      </c>
      <c r="M49" s="7" t="str">
        <f>CONCATENATE("VTTNRC69H19F415B")</f>
        <v>VTTNRC69H19F415B</v>
      </c>
      <c r="N49" s="7" t="s">
        <v>105</v>
      </c>
      <c r="O49" s="7"/>
      <c r="P49" s="8">
        <v>44524</v>
      </c>
      <c r="Q49" s="7" t="s">
        <v>31</v>
      </c>
      <c r="R49" s="7" t="s">
        <v>32</v>
      </c>
      <c r="S49" s="7" t="s">
        <v>33</v>
      </c>
      <c r="T49" s="7"/>
      <c r="U49" s="7" t="s">
        <v>34</v>
      </c>
      <c r="V49" s="9">
        <v>3278.44</v>
      </c>
      <c r="W49" s="9">
        <v>1413.66</v>
      </c>
      <c r="X49" s="9">
        <v>1305.47</v>
      </c>
      <c r="Y49" s="7">
        <v>0</v>
      </c>
      <c r="Z49" s="7">
        <v>559.30999999999995</v>
      </c>
    </row>
    <row r="50" spans="1:26" ht="17.5" x14ac:dyDescent="0.35">
      <c r="A50" s="7" t="s">
        <v>27</v>
      </c>
      <c r="B50" s="7" t="s">
        <v>28</v>
      </c>
      <c r="C50" s="7" t="s">
        <v>54</v>
      </c>
      <c r="D50" s="7" t="s">
        <v>55</v>
      </c>
      <c r="E50" s="7" t="s">
        <v>36</v>
      </c>
      <c r="F50" s="7" t="s">
        <v>56</v>
      </c>
      <c r="G50" s="7">
        <v>2021</v>
      </c>
      <c r="H50" s="7" t="str">
        <f>CONCATENATE("14240965450")</f>
        <v>14240965450</v>
      </c>
      <c r="I50" s="7" t="s">
        <v>29</v>
      </c>
      <c r="J50" s="7" t="s">
        <v>30</v>
      </c>
      <c r="K50" s="7" t="str">
        <f>CONCATENATE("")</f>
        <v/>
      </c>
      <c r="L50" s="7" t="str">
        <f>CONCATENATE("10 10.1 4b")</f>
        <v>10 10.1 4b</v>
      </c>
      <c r="M50" s="7" t="str">
        <f>CONCATENATE("01746380441")</f>
        <v>01746380441</v>
      </c>
      <c r="N50" s="7" t="s">
        <v>106</v>
      </c>
      <c r="O50" s="7"/>
      <c r="P50" s="8">
        <v>44524</v>
      </c>
      <c r="Q50" s="7" t="s">
        <v>31</v>
      </c>
      <c r="R50" s="7" t="s">
        <v>32</v>
      </c>
      <c r="S50" s="7" t="s">
        <v>33</v>
      </c>
      <c r="T50" s="7"/>
      <c r="U50" s="7" t="s">
        <v>34</v>
      </c>
      <c r="V50" s="9">
        <v>1586.43</v>
      </c>
      <c r="W50" s="7">
        <v>684.07</v>
      </c>
      <c r="X50" s="7">
        <v>631.72</v>
      </c>
      <c r="Y50" s="7">
        <v>0</v>
      </c>
      <c r="Z50" s="7">
        <v>270.64</v>
      </c>
    </row>
    <row r="51" spans="1:26" x14ac:dyDescent="0.35">
      <c r="A51" s="7" t="s">
        <v>27</v>
      </c>
      <c r="B51" s="7" t="s">
        <v>28</v>
      </c>
      <c r="C51" s="7" t="s">
        <v>54</v>
      </c>
      <c r="D51" s="7" t="s">
        <v>55</v>
      </c>
      <c r="E51" s="7" t="s">
        <v>36</v>
      </c>
      <c r="F51" s="7" t="s">
        <v>56</v>
      </c>
      <c r="G51" s="7">
        <v>2021</v>
      </c>
      <c r="H51" s="7" t="str">
        <f>CONCATENATE("14240891300")</f>
        <v>14240891300</v>
      </c>
      <c r="I51" s="7" t="s">
        <v>29</v>
      </c>
      <c r="J51" s="7" t="s">
        <v>30</v>
      </c>
      <c r="K51" s="7" t="str">
        <f>CONCATENATE("")</f>
        <v/>
      </c>
      <c r="L51" s="7" t="str">
        <f>CONCATENATE("10 10.1 4b")</f>
        <v>10 10.1 4b</v>
      </c>
      <c r="M51" s="7" t="str">
        <f>CONCATENATE("MZZRLD34A29F487I")</f>
        <v>MZZRLD34A29F487I</v>
      </c>
      <c r="N51" s="7" t="s">
        <v>107</v>
      </c>
      <c r="O51" s="7"/>
      <c r="P51" s="8">
        <v>44524</v>
      </c>
      <c r="Q51" s="7" t="s">
        <v>31</v>
      </c>
      <c r="R51" s="7" t="s">
        <v>32</v>
      </c>
      <c r="S51" s="7" t="s">
        <v>33</v>
      </c>
      <c r="T51" s="7"/>
      <c r="U51" s="7" t="s">
        <v>34</v>
      </c>
      <c r="V51" s="9">
        <v>3335.65</v>
      </c>
      <c r="W51" s="9">
        <v>1438.33</v>
      </c>
      <c r="X51" s="9">
        <v>1328.26</v>
      </c>
      <c r="Y51" s="7">
        <v>0</v>
      </c>
      <c r="Z51" s="7">
        <v>569.05999999999995</v>
      </c>
    </row>
    <row r="52" spans="1:26" x14ac:dyDescent="0.35">
      <c r="A52" s="7" t="s">
        <v>27</v>
      </c>
      <c r="B52" s="7" t="s">
        <v>28</v>
      </c>
      <c r="C52" s="7" t="s">
        <v>54</v>
      </c>
      <c r="D52" s="7" t="s">
        <v>55</v>
      </c>
      <c r="E52" s="7" t="s">
        <v>36</v>
      </c>
      <c r="F52" s="7" t="s">
        <v>108</v>
      </c>
      <c r="G52" s="7">
        <v>2021</v>
      </c>
      <c r="H52" s="7" t="str">
        <f>CONCATENATE("14240895533")</f>
        <v>14240895533</v>
      </c>
      <c r="I52" s="7" t="s">
        <v>29</v>
      </c>
      <c r="J52" s="7" t="s">
        <v>30</v>
      </c>
      <c r="K52" s="7" t="str">
        <f>CONCATENATE("")</f>
        <v/>
      </c>
      <c r="L52" s="7" t="str">
        <f>CONCATENATE("10 10.1 4b")</f>
        <v>10 10.1 4b</v>
      </c>
      <c r="M52" s="7" t="str">
        <f>CONCATENATE("SCRTTV62S18H769U")</f>
        <v>SCRTTV62S18H769U</v>
      </c>
      <c r="N52" s="7" t="s">
        <v>109</v>
      </c>
      <c r="O52" s="7"/>
      <c r="P52" s="8">
        <v>44524</v>
      </c>
      <c r="Q52" s="7" t="s">
        <v>31</v>
      </c>
      <c r="R52" s="7" t="s">
        <v>32</v>
      </c>
      <c r="S52" s="7" t="s">
        <v>33</v>
      </c>
      <c r="T52" s="7"/>
      <c r="U52" s="7" t="s">
        <v>34</v>
      </c>
      <c r="V52" s="9">
        <v>4729.53</v>
      </c>
      <c r="W52" s="9">
        <v>2039.37</v>
      </c>
      <c r="X52" s="9">
        <v>1883.3</v>
      </c>
      <c r="Y52" s="7">
        <v>0</v>
      </c>
      <c r="Z52" s="7">
        <v>806.86</v>
      </c>
    </row>
    <row r="53" spans="1:26" x14ac:dyDescent="0.35">
      <c r="A53" s="7" t="s">
        <v>27</v>
      </c>
      <c r="B53" s="7" t="s">
        <v>28</v>
      </c>
      <c r="C53" s="7" t="s">
        <v>54</v>
      </c>
      <c r="D53" s="7" t="s">
        <v>55</v>
      </c>
      <c r="E53" s="7" t="s">
        <v>36</v>
      </c>
      <c r="F53" s="7" t="s">
        <v>108</v>
      </c>
      <c r="G53" s="7">
        <v>2021</v>
      </c>
      <c r="H53" s="7" t="str">
        <f>CONCATENATE("14240902263")</f>
        <v>14240902263</v>
      </c>
      <c r="I53" s="7" t="s">
        <v>29</v>
      </c>
      <c r="J53" s="7" t="s">
        <v>30</v>
      </c>
      <c r="K53" s="7" t="str">
        <f>CONCATENATE("")</f>
        <v/>
      </c>
      <c r="L53" s="7" t="str">
        <f>CONCATENATE("10 10.1 4b")</f>
        <v>10 10.1 4b</v>
      </c>
      <c r="M53" s="7" t="str">
        <f>CONCATENATE("01967750447")</f>
        <v>01967750447</v>
      </c>
      <c r="N53" s="7" t="s">
        <v>110</v>
      </c>
      <c r="O53" s="7"/>
      <c r="P53" s="8">
        <v>44524</v>
      </c>
      <c r="Q53" s="7" t="s">
        <v>31</v>
      </c>
      <c r="R53" s="7" t="s">
        <v>32</v>
      </c>
      <c r="S53" s="7" t="s">
        <v>33</v>
      </c>
      <c r="T53" s="7"/>
      <c r="U53" s="7" t="s">
        <v>34</v>
      </c>
      <c r="V53" s="9">
        <v>13955.22</v>
      </c>
      <c r="W53" s="9">
        <v>6017.49</v>
      </c>
      <c r="X53" s="9">
        <v>5556.97</v>
      </c>
      <c r="Y53" s="7">
        <v>0</v>
      </c>
      <c r="Z53" s="9">
        <v>2380.7600000000002</v>
      </c>
    </row>
    <row r="54" spans="1:26" x14ac:dyDescent="0.35">
      <c r="A54" s="7" t="s">
        <v>27</v>
      </c>
      <c r="B54" s="7" t="s">
        <v>28</v>
      </c>
      <c r="C54" s="7" t="s">
        <v>54</v>
      </c>
      <c r="D54" s="7" t="s">
        <v>55</v>
      </c>
      <c r="E54" s="7" t="s">
        <v>36</v>
      </c>
      <c r="F54" s="7" t="s">
        <v>108</v>
      </c>
      <c r="G54" s="7">
        <v>2021</v>
      </c>
      <c r="H54" s="7" t="str">
        <f>CONCATENATE("14240896044")</f>
        <v>14240896044</v>
      </c>
      <c r="I54" s="7" t="s">
        <v>29</v>
      </c>
      <c r="J54" s="7" t="s">
        <v>30</v>
      </c>
      <c r="K54" s="7" t="str">
        <f>CONCATENATE("")</f>
        <v/>
      </c>
      <c r="L54" s="7" t="str">
        <f>CONCATENATE("10 10.1 4b")</f>
        <v>10 10.1 4b</v>
      </c>
      <c r="M54" s="7" t="str">
        <f>CONCATENATE("LBTGDY78H54Z504D")</f>
        <v>LBTGDY78H54Z504D</v>
      </c>
      <c r="N54" s="7" t="s">
        <v>111</v>
      </c>
      <c r="O54" s="7"/>
      <c r="P54" s="8">
        <v>44524</v>
      </c>
      <c r="Q54" s="7" t="s">
        <v>31</v>
      </c>
      <c r="R54" s="7" t="s">
        <v>32</v>
      </c>
      <c r="S54" s="7" t="s">
        <v>33</v>
      </c>
      <c r="T54" s="7"/>
      <c r="U54" s="7" t="s">
        <v>34</v>
      </c>
      <c r="V54" s="9">
        <v>6795.14</v>
      </c>
      <c r="W54" s="9">
        <v>2930.06</v>
      </c>
      <c r="X54" s="9">
        <v>2705.82</v>
      </c>
      <c r="Y54" s="7">
        <v>0</v>
      </c>
      <c r="Z54" s="9">
        <v>1159.26</v>
      </c>
    </row>
    <row r="55" spans="1:26" x14ac:dyDescent="0.35">
      <c r="A55" s="7" t="s">
        <v>27</v>
      </c>
      <c r="B55" s="7" t="s">
        <v>28</v>
      </c>
      <c r="C55" s="7" t="s">
        <v>54</v>
      </c>
      <c r="D55" s="7" t="s">
        <v>55</v>
      </c>
      <c r="E55" s="7" t="s">
        <v>36</v>
      </c>
      <c r="F55" s="7" t="s">
        <v>108</v>
      </c>
      <c r="G55" s="7">
        <v>2021</v>
      </c>
      <c r="H55" s="7" t="str">
        <f>CONCATENATE("14240904954")</f>
        <v>14240904954</v>
      </c>
      <c r="I55" s="7" t="s">
        <v>29</v>
      </c>
      <c r="J55" s="7" t="s">
        <v>30</v>
      </c>
      <c r="K55" s="7" t="str">
        <f>CONCATENATE("")</f>
        <v/>
      </c>
      <c r="L55" s="7" t="str">
        <f>CONCATENATE("10 10.1 4b")</f>
        <v>10 10.1 4b</v>
      </c>
      <c r="M55" s="7" t="str">
        <f>CONCATENATE("MCHMRC72P27C093P")</f>
        <v>MCHMRC72P27C093P</v>
      </c>
      <c r="N55" s="7" t="s">
        <v>112</v>
      </c>
      <c r="O55" s="7"/>
      <c r="P55" s="8">
        <v>44524</v>
      </c>
      <c r="Q55" s="7" t="s">
        <v>31</v>
      </c>
      <c r="R55" s="7" t="s">
        <v>32</v>
      </c>
      <c r="S55" s="7" t="s">
        <v>33</v>
      </c>
      <c r="T55" s="7"/>
      <c r="U55" s="7" t="s">
        <v>34</v>
      </c>
      <c r="V55" s="9">
        <v>4810.59</v>
      </c>
      <c r="W55" s="9">
        <v>2074.33</v>
      </c>
      <c r="X55" s="9">
        <v>1915.58</v>
      </c>
      <c r="Y55" s="7">
        <v>0</v>
      </c>
      <c r="Z55" s="7">
        <v>820.68</v>
      </c>
    </row>
    <row r="56" spans="1:26" x14ac:dyDescent="0.35">
      <c r="A56" s="7" t="s">
        <v>27</v>
      </c>
      <c r="B56" s="7" t="s">
        <v>28</v>
      </c>
      <c r="C56" s="7" t="s">
        <v>54</v>
      </c>
      <c r="D56" s="7" t="s">
        <v>55</v>
      </c>
      <c r="E56" s="7" t="s">
        <v>36</v>
      </c>
      <c r="F56" s="7" t="s">
        <v>113</v>
      </c>
      <c r="G56" s="7">
        <v>2021</v>
      </c>
      <c r="H56" s="7" t="str">
        <f>CONCATENATE("14240972530")</f>
        <v>14240972530</v>
      </c>
      <c r="I56" s="7" t="s">
        <v>29</v>
      </c>
      <c r="J56" s="7" t="s">
        <v>30</v>
      </c>
      <c r="K56" s="7" t="str">
        <f>CONCATENATE("")</f>
        <v/>
      </c>
      <c r="L56" s="7" t="str">
        <f>CONCATENATE("10 10.1 4b")</f>
        <v>10 10.1 4b</v>
      </c>
      <c r="M56" s="7" t="str">
        <f>CONCATENATE("CRLMRC78A03H769C")</f>
        <v>CRLMRC78A03H769C</v>
      </c>
      <c r="N56" s="7" t="s">
        <v>114</v>
      </c>
      <c r="O56" s="7"/>
      <c r="P56" s="8">
        <v>44524</v>
      </c>
      <c r="Q56" s="7" t="s">
        <v>31</v>
      </c>
      <c r="R56" s="7" t="s">
        <v>32</v>
      </c>
      <c r="S56" s="7" t="s">
        <v>33</v>
      </c>
      <c r="T56" s="7"/>
      <c r="U56" s="7" t="s">
        <v>34</v>
      </c>
      <c r="V56" s="9">
        <v>3962.09</v>
      </c>
      <c r="W56" s="9">
        <v>1708.45</v>
      </c>
      <c r="X56" s="9">
        <v>1577.7</v>
      </c>
      <c r="Y56" s="7">
        <v>0</v>
      </c>
      <c r="Z56" s="7">
        <v>675.94</v>
      </c>
    </row>
    <row r="57" spans="1:26" x14ac:dyDescent="0.35">
      <c r="A57" s="7" t="s">
        <v>27</v>
      </c>
      <c r="B57" s="7" t="s">
        <v>28</v>
      </c>
      <c r="C57" s="7" t="s">
        <v>54</v>
      </c>
      <c r="D57" s="7" t="s">
        <v>55</v>
      </c>
      <c r="E57" s="7" t="s">
        <v>36</v>
      </c>
      <c r="F57" s="7" t="s">
        <v>56</v>
      </c>
      <c r="G57" s="7">
        <v>2021</v>
      </c>
      <c r="H57" s="7" t="str">
        <f>CONCATENATE("14240980749")</f>
        <v>14240980749</v>
      </c>
      <c r="I57" s="7" t="s">
        <v>29</v>
      </c>
      <c r="J57" s="7" t="s">
        <v>30</v>
      </c>
      <c r="K57" s="7" t="str">
        <f>CONCATENATE("")</f>
        <v/>
      </c>
      <c r="L57" s="7" t="str">
        <f>CONCATENATE("10 10.1 4b")</f>
        <v>10 10.1 4b</v>
      </c>
      <c r="M57" s="7" t="str">
        <f>CONCATENATE("CCHVCN60R28G516M")</f>
        <v>CCHVCN60R28G516M</v>
      </c>
      <c r="N57" s="7" t="s">
        <v>115</v>
      </c>
      <c r="O57" s="7"/>
      <c r="P57" s="8">
        <v>44524</v>
      </c>
      <c r="Q57" s="7" t="s">
        <v>31</v>
      </c>
      <c r="R57" s="7" t="s">
        <v>32</v>
      </c>
      <c r="S57" s="7" t="s">
        <v>33</v>
      </c>
      <c r="T57" s="7"/>
      <c r="U57" s="7" t="s">
        <v>34</v>
      </c>
      <c r="V57" s="9">
        <v>11181.94</v>
      </c>
      <c r="W57" s="9">
        <v>4821.6499999999996</v>
      </c>
      <c r="X57" s="9">
        <v>4452.6499999999996</v>
      </c>
      <c r="Y57" s="7">
        <v>0</v>
      </c>
      <c r="Z57" s="9">
        <v>1907.64</v>
      </c>
    </row>
    <row r="58" spans="1:26" x14ac:dyDescent="0.35">
      <c r="A58" s="7" t="s">
        <v>27</v>
      </c>
      <c r="B58" s="7" t="s">
        <v>28</v>
      </c>
      <c r="C58" s="7" t="s">
        <v>54</v>
      </c>
      <c r="D58" s="7" t="s">
        <v>55</v>
      </c>
      <c r="E58" s="7" t="s">
        <v>40</v>
      </c>
      <c r="F58" s="7" t="s">
        <v>81</v>
      </c>
      <c r="G58" s="7">
        <v>2021</v>
      </c>
      <c r="H58" s="7" t="str">
        <f>CONCATENATE("14241036970")</f>
        <v>14241036970</v>
      </c>
      <c r="I58" s="7" t="s">
        <v>29</v>
      </c>
      <c r="J58" s="7" t="s">
        <v>30</v>
      </c>
      <c r="K58" s="7" t="str">
        <f>CONCATENATE("")</f>
        <v/>
      </c>
      <c r="L58" s="7" t="str">
        <f>CONCATENATE("10 10.1 4b")</f>
        <v>10 10.1 4b</v>
      </c>
      <c r="M58" s="7" t="str">
        <f>CONCATENATE("CRTRCR54S24F415N")</f>
        <v>CRTRCR54S24F415N</v>
      </c>
      <c r="N58" s="7" t="s">
        <v>116</v>
      </c>
      <c r="O58" s="7"/>
      <c r="P58" s="8">
        <v>44524</v>
      </c>
      <c r="Q58" s="7" t="s">
        <v>31</v>
      </c>
      <c r="R58" s="7" t="s">
        <v>32</v>
      </c>
      <c r="S58" s="7" t="s">
        <v>33</v>
      </c>
      <c r="T58" s="7"/>
      <c r="U58" s="7" t="s">
        <v>34</v>
      </c>
      <c r="V58" s="9">
        <v>2550.1999999999998</v>
      </c>
      <c r="W58" s="9">
        <v>1099.6500000000001</v>
      </c>
      <c r="X58" s="9">
        <v>1015.49</v>
      </c>
      <c r="Y58" s="7">
        <v>0</v>
      </c>
      <c r="Z58" s="7">
        <v>435.06</v>
      </c>
    </row>
    <row r="59" spans="1:26" x14ac:dyDescent="0.35">
      <c r="A59" s="7" t="s">
        <v>27</v>
      </c>
      <c r="B59" s="7" t="s">
        <v>28</v>
      </c>
      <c r="C59" s="7" t="s">
        <v>54</v>
      </c>
      <c r="D59" s="7" t="s">
        <v>55</v>
      </c>
      <c r="E59" s="7" t="s">
        <v>40</v>
      </c>
      <c r="F59" s="7" t="s">
        <v>81</v>
      </c>
      <c r="G59" s="7">
        <v>2021</v>
      </c>
      <c r="H59" s="7" t="str">
        <f>CONCATENATE("14241038208")</f>
        <v>14241038208</v>
      </c>
      <c r="I59" s="7" t="s">
        <v>29</v>
      </c>
      <c r="J59" s="7" t="s">
        <v>30</v>
      </c>
      <c r="K59" s="7" t="str">
        <f>CONCATENATE("")</f>
        <v/>
      </c>
      <c r="L59" s="7" t="str">
        <f>CONCATENATE("10 10.1 4b")</f>
        <v>10 10.1 4b</v>
      </c>
      <c r="M59" s="7" t="str">
        <f>CONCATENATE("GBBLNZ47R16F415K")</f>
        <v>GBBLNZ47R16F415K</v>
      </c>
      <c r="N59" s="7" t="s">
        <v>117</v>
      </c>
      <c r="O59" s="7"/>
      <c r="P59" s="8">
        <v>44524</v>
      </c>
      <c r="Q59" s="7" t="s">
        <v>31</v>
      </c>
      <c r="R59" s="7" t="s">
        <v>32</v>
      </c>
      <c r="S59" s="7" t="s">
        <v>33</v>
      </c>
      <c r="T59" s="7"/>
      <c r="U59" s="7" t="s">
        <v>34</v>
      </c>
      <c r="V59" s="9">
        <v>1608</v>
      </c>
      <c r="W59" s="7">
        <v>693.37</v>
      </c>
      <c r="X59" s="7">
        <v>640.30999999999995</v>
      </c>
      <c r="Y59" s="7">
        <v>0</v>
      </c>
      <c r="Z59" s="7">
        <v>274.32</v>
      </c>
    </row>
    <row r="60" spans="1:26" x14ac:dyDescent="0.35">
      <c r="A60" s="7" t="s">
        <v>27</v>
      </c>
      <c r="B60" s="7" t="s">
        <v>28</v>
      </c>
      <c r="C60" s="7" t="s">
        <v>54</v>
      </c>
      <c r="D60" s="7" t="s">
        <v>118</v>
      </c>
      <c r="E60" s="7" t="s">
        <v>36</v>
      </c>
      <c r="F60" s="7" t="s">
        <v>119</v>
      </c>
      <c r="G60" s="7">
        <v>2021</v>
      </c>
      <c r="H60" s="7" t="str">
        <f>CONCATENATE("14241109272")</f>
        <v>14241109272</v>
      </c>
      <c r="I60" s="7" t="s">
        <v>29</v>
      </c>
      <c r="J60" s="7" t="s">
        <v>30</v>
      </c>
      <c r="K60" s="7" t="str">
        <f>CONCATENATE("")</f>
        <v/>
      </c>
      <c r="L60" s="7" t="str">
        <f>CONCATENATE("10 10.1 4b")</f>
        <v>10 10.1 4b</v>
      </c>
      <c r="M60" s="7" t="str">
        <f>CONCATENATE("MFFWTR57R24F523Z")</f>
        <v>MFFWTR57R24F523Z</v>
      </c>
      <c r="N60" s="7" t="s">
        <v>120</v>
      </c>
      <c r="O60" s="7"/>
      <c r="P60" s="8">
        <v>44524</v>
      </c>
      <c r="Q60" s="7" t="s">
        <v>31</v>
      </c>
      <c r="R60" s="7" t="s">
        <v>32</v>
      </c>
      <c r="S60" s="7" t="s">
        <v>33</v>
      </c>
      <c r="T60" s="7"/>
      <c r="U60" s="7" t="s">
        <v>34</v>
      </c>
      <c r="V60" s="9">
        <v>4627.05</v>
      </c>
      <c r="W60" s="9">
        <v>1995.18</v>
      </c>
      <c r="X60" s="9">
        <v>1842.49</v>
      </c>
      <c r="Y60" s="7">
        <v>0</v>
      </c>
      <c r="Z60" s="7">
        <v>789.38</v>
      </c>
    </row>
    <row r="61" spans="1:26" x14ac:dyDescent="0.35">
      <c r="A61" s="7" t="s">
        <v>27</v>
      </c>
      <c r="B61" s="7" t="s">
        <v>28</v>
      </c>
      <c r="C61" s="7" t="s">
        <v>54</v>
      </c>
      <c r="D61" s="7" t="s">
        <v>55</v>
      </c>
      <c r="E61" s="7" t="s">
        <v>36</v>
      </c>
      <c r="F61" s="7" t="s">
        <v>56</v>
      </c>
      <c r="G61" s="7">
        <v>2021</v>
      </c>
      <c r="H61" s="7" t="str">
        <f>CONCATENATE("14241204263")</f>
        <v>14241204263</v>
      </c>
      <c r="I61" s="7" t="s">
        <v>29</v>
      </c>
      <c r="J61" s="7" t="s">
        <v>30</v>
      </c>
      <c r="K61" s="7" t="str">
        <f>CONCATENATE("")</f>
        <v/>
      </c>
      <c r="L61" s="7" t="str">
        <f>CONCATENATE("10 10.1 4b")</f>
        <v>10 10.1 4b</v>
      </c>
      <c r="M61" s="7" t="str">
        <f>CONCATENATE("MBLFNC51E22F501U")</f>
        <v>MBLFNC51E22F501U</v>
      </c>
      <c r="N61" s="7" t="s">
        <v>121</v>
      </c>
      <c r="O61" s="7"/>
      <c r="P61" s="8">
        <v>44524</v>
      </c>
      <c r="Q61" s="7" t="s">
        <v>31</v>
      </c>
      <c r="R61" s="7" t="s">
        <v>32</v>
      </c>
      <c r="S61" s="7" t="s">
        <v>33</v>
      </c>
      <c r="T61" s="7"/>
      <c r="U61" s="7" t="s">
        <v>34</v>
      </c>
      <c r="V61" s="9">
        <v>1176.4100000000001</v>
      </c>
      <c r="W61" s="7">
        <v>507.27</v>
      </c>
      <c r="X61" s="7">
        <v>468.45</v>
      </c>
      <c r="Y61" s="7">
        <v>0</v>
      </c>
      <c r="Z61" s="7">
        <v>200.69</v>
      </c>
    </row>
    <row r="62" spans="1:26" x14ac:dyDescent="0.35">
      <c r="A62" s="7" t="s">
        <v>27</v>
      </c>
      <c r="B62" s="7" t="s">
        <v>28</v>
      </c>
      <c r="C62" s="7" t="s">
        <v>54</v>
      </c>
      <c r="D62" s="7" t="s">
        <v>122</v>
      </c>
      <c r="E62" s="7" t="s">
        <v>38</v>
      </c>
      <c r="F62" s="7" t="s">
        <v>123</v>
      </c>
      <c r="G62" s="7">
        <v>2021</v>
      </c>
      <c r="H62" s="7" t="str">
        <f>CONCATENATE("14240661067")</f>
        <v>14240661067</v>
      </c>
      <c r="I62" s="7" t="s">
        <v>29</v>
      </c>
      <c r="J62" s="7" t="s">
        <v>30</v>
      </c>
      <c r="K62" s="7" t="str">
        <f>CONCATENATE("")</f>
        <v/>
      </c>
      <c r="L62" s="7" t="str">
        <f>CONCATENATE("10 10.1 4a")</f>
        <v>10 10.1 4a</v>
      </c>
      <c r="M62" s="7" t="str">
        <f>CONCATENATE("GMBCLD82L53D451M")</f>
        <v>GMBCLD82L53D451M</v>
      </c>
      <c r="N62" s="7" t="s">
        <v>124</v>
      </c>
      <c r="O62" s="7"/>
      <c r="P62" s="8">
        <v>44522</v>
      </c>
      <c r="Q62" s="7" t="s">
        <v>31</v>
      </c>
      <c r="R62" s="7" t="s">
        <v>32</v>
      </c>
      <c r="S62" s="7" t="s">
        <v>33</v>
      </c>
      <c r="T62" s="7"/>
      <c r="U62" s="7" t="s">
        <v>34</v>
      </c>
      <c r="V62" s="7">
        <v>170</v>
      </c>
      <c r="W62" s="7">
        <v>73.3</v>
      </c>
      <c r="X62" s="7">
        <v>67.69</v>
      </c>
      <c r="Y62" s="7">
        <v>0</v>
      </c>
      <c r="Z62" s="7">
        <v>29.01</v>
      </c>
    </row>
    <row r="63" spans="1:26" x14ac:dyDescent="0.35">
      <c r="A63" s="7" t="s">
        <v>27</v>
      </c>
      <c r="B63" s="7" t="s">
        <v>28</v>
      </c>
      <c r="C63" s="7" t="s">
        <v>54</v>
      </c>
      <c r="D63" s="7" t="s">
        <v>118</v>
      </c>
      <c r="E63" s="7" t="s">
        <v>37</v>
      </c>
      <c r="F63" s="7" t="s">
        <v>125</v>
      </c>
      <c r="G63" s="7">
        <v>2021</v>
      </c>
      <c r="H63" s="7" t="str">
        <f>CONCATENATE("14240798471")</f>
        <v>14240798471</v>
      </c>
      <c r="I63" s="7" t="s">
        <v>29</v>
      </c>
      <c r="J63" s="7" t="s">
        <v>30</v>
      </c>
      <c r="K63" s="7" t="str">
        <f>CONCATENATE("")</f>
        <v/>
      </c>
      <c r="L63" s="7" t="str">
        <f>CONCATENATE("10 10.1 4a")</f>
        <v>10 10.1 4a</v>
      </c>
      <c r="M63" s="7" t="str">
        <f>CONCATENATE("PSCLCU86D10D488F")</f>
        <v>PSCLCU86D10D488F</v>
      </c>
      <c r="N63" s="7" t="s">
        <v>126</v>
      </c>
      <c r="O63" s="7"/>
      <c r="P63" s="8">
        <v>44522</v>
      </c>
      <c r="Q63" s="7" t="s">
        <v>31</v>
      </c>
      <c r="R63" s="7" t="s">
        <v>32</v>
      </c>
      <c r="S63" s="7" t="s">
        <v>33</v>
      </c>
      <c r="T63" s="7"/>
      <c r="U63" s="7" t="s">
        <v>34</v>
      </c>
      <c r="V63" s="7">
        <v>850</v>
      </c>
      <c r="W63" s="7">
        <v>366.52</v>
      </c>
      <c r="X63" s="7">
        <v>338.47</v>
      </c>
      <c r="Y63" s="7">
        <v>0</v>
      </c>
      <c r="Z63" s="7">
        <v>145.01</v>
      </c>
    </row>
    <row r="64" spans="1:26" x14ac:dyDescent="0.35">
      <c r="A64" s="7" t="s">
        <v>27</v>
      </c>
      <c r="B64" s="7" t="s">
        <v>28</v>
      </c>
      <c r="C64" s="7" t="s">
        <v>54</v>
      </c>
      <c r="D64" s="7" t="s">
        <v>118</v>
      </c>
      <c r="E64" s="7" t="s">
        <v>36</v>
      </c>
      <c r="F64" s="7" t="s">
        <v>127</v>
      </c>
      <c r="G64" s="7">
        <v>2021</v>
      </c>
      <c r="H64" s="7" t="str">
        <f>CONCATENATE("14240659772")</f>
        <v>14240659772</v>
      </c>
      <c r="I64" s="7" t="s">
        <v>29</v>
      </c>
      <c r="J64" s="7" t="s">
        <v>30</v>
      </c>
      <c r="K64" s="7" t="str">
        <f>CONCATENATE("")</f>
        <v/>
      </c>
      <c r="L64" s="7" t="str">
        <f>CONCATENATE("10 10.1 4a")</f>
        <v>10 10.1 4a</v>
      </c>
      <c r="M64" s="7" t="str">
        <f>CONCATENATE("PGNSMN72A61D749T")</f>
        <v>PGNSMN72A61D749T</v>
      </c>
      <c r="N64" s="7" t="s">
        <v>128</v>
      </c>
      <c r="O64" s="7"/>
      <c r="P64" s="8">
        <v>44522</v>
      </c>
      <c r="Q64" s="7" t="s">
        <v>31</v>
      </c>
      <c r="R64" s="7" t="s">
        <v>32</v>
      </c>
      <c r="S64" s="7" t="s">
        <v>33</v>
      </c>
      <c r="T64" s="7"/>
      <c r="U64" s="7" t="s">
        <v>34</v>
      </c>
      <c r="V64" s="7">
        <v>232.63</v>
      </c>
      <c r="W64" s="7">
        <v>100.31</v>
      </c>
      <c r="X64" s="7">
        <v>92.63</v>
      </c>
      <c r="Y64" s="7">
        <v>0</v>
      </c>
      <c r="Z64" s="7">
        <v>39.69</v>
      </c>
    </row>
    <row r="65" spans="1:26" x14ac:dyDescent="0.35">
      <c r="A65" s="7" t="s">
        <v>27</v>
      </c>
      <c r="B65" s="7" t="s">
        <v>28</v>
      </c>
      <c r="C65" s="7" t="s">
        <v>54</v>
      </c>
      <c r="D65" s="7" t="s">
        <v>55</v>
      </c>
      <c r="E65" s="7" t="s">
        <v>35</v>
      </c>
      <c r="F65" s="7" t="s">
        <v>47</v>
      </c>
      <c r="G65" s="7">
        <v>2021</v>
      </c>
      <c r="H65" s="7" t="str">
        <f>CONCATENATE("14240678517")</f>
        <v>14240678517</v>
      </c>
      <c r="I65" s="7" t="s">
        <v>29</v>
      </c>
      <c r="J65" s="7" t="s">
        <v>30</v>
      </c>
      <c r="K65" s="7" t="str">
        <f>CONCATENATE("")</f>
        <v/>
      </c>
      <c r="L65" s="7" t="str">
        <f>CONCATENATE("10 10.1 4a")</f>
        <v>10 10.1 4a</v>
      </c>
      <c r="M65" s="7" t="str">
        <f>CONCATENATE("MRCNDR69B13D542E")</f>
        <v>MRCNDR69B13D542E</v>
      </c>
      <c r="N65" s="7" t="s">
        <v>129</v>
      </c>
      <c r="O65" s="7"/>
      <c r="P65" s="8">
        <v>44522</v>
      </c>
      <c r="Q65" s="7" t="s">
        <v>31</v>
      </c>
      <c r="R65" s="7" t="s">
        <v>32</v>
      </c>
      <c r="S65" s="7" t="s">
        <v>33</v>
      </c>
      <c r="T65" s="7"/>
      <c r="U65" s="7" t="s">
        <v>34</v>
      </c>
      <c r="V65" s="7">
        <v>740.42</v>
      </c>
      <c r="W65" s="7">
        <v>319.27</v>
      </c>
      <c r="X65" s="7">
        <v>294.83999999999997</v>
      </c>
      <c r="Y65" s="7">
        <v>0</v>
      </c>
      <c r="Z65" s="7">
        <v>126.31</v>
      </c>
    </row>
    <row r="66" spans="1:26" x14ac:dyDescent="0.35">
      <c r="A66" s="7" t="s">
        <v>27</v>
      </c>
      <c r="B66" s="7" t="s">
        <v>28</v>
      </c>
      <c r="C66" s="7" t="s">
        <v>54</v>
      </c>
      <c r="D66" s="7" t="s">
        <v>55</v>
      </c>
      <c r="E66" s="7" t="s">
        <v>36</v>
      </c>
      <c r="F66" s="7" t="s">
        <v>56</v>
      </c>
      <c r="G66" s="7">
        <v>2021</v>
      </c>
      <c r="H66" s="7" t="str">
        <f>CONCATENATE("14240723669")</f>
        <v>14240723669</v>
      </c>
      <c r="I66" s="7" t="s">
        <v>29</v>
      </c>
      <c r="J66" s="7" t="s">
        <v>30</v>
      </c>
      <c r="K66" s="7" t="str">
        <f>CONCATENATE("")</f>
        <v/>
      </c>
      <c r="L66" s="7" t="str">
        <f>CONCATENATE("10 10.1 4a")</f>
        <v>10 10.1 4a</v>
      </c>
      <c r="M66" s="7" t="str">
        <f>CONCATENATE("GHMMRL68S49Z129X")</f>
        <v>GHMMRL68S49Z129X</v>
      </c>
      <c r="N66" s="7" t="s">
        <v>130</v>
      </c>
      <c r="O66" s="7"/>
      <c r="P66" s="8">
        <v>44522</v>
      </c>
      <c r="Q66" s="7" t="s">
        <v>31</v>
      </c>
      <c r="R66" s="7" t="s">
        <v>32</v>
      </c>
      <c r="S66" s="7" t="s">
        <v>33</v>
      </c>
      <c r="T66" s="7"/>
      <c r="U66" s="7" t="s">
        <v>34</v>
      </c>
      <c r="V66" s="7">
        <v>982.81</v>
      </c>
      <c r="W66" s="7">
        <v>423.79</v>
      </c>
      <c r="X66" s="7">
        <v>391.35</v>
      </c>
      <c r="Y66" s="7">
        <v>0</v>
      </c>
      <c r="Z66" s="7">
        <v>167.67</v>
      </c>
    </row>
    <row r="67" spans="1:26" x14ac:dyDescent="0.35">
      <c r="A67" s="7" t="s">
        <v>27</v>
      </c>
      <c r="B67" s="7" t="s">
        <v>28</v>
      </c>
      <c r="C67" s="7" t="s">
        <v>54</v>
      </c>
      <c r="D67" s="7" t="s">
        <v>122</v>
      </c>
      <c r="E67" s="7" t="s">
        <v>40</v>
      </c>
      <c r="F67" s="7" t="s">
        <v>131</v>
      </c>
      <c r="G67" s="7">
        <v>2021</v>
      </c>
      <c r="H67" s="7" t="str">
        <f>CONCATENATE("14240815135")</f>
        <v>14240815135</v>
      </c>
      <c r="I67" s="7" t="s">
        <v>29</v>
      </c>
      <c r="J67" s="7" t="s">
        <v>30</v>
      </c>
      <c r="K67" s="7" t="str">
        <f>CONCATENATE("")</f>
        <v/>
      </c>
      <c r="L67" s="7" t="str">
        <f>CONCATENATE("10 10.1 4a")</f>
        <v>10 10.1 4a</v>
      </c>
      <c r="M67" s="7" t="str">
        <f>CONCATENATE("02487080422")</f>
        <v>02487080422</v>
      </c>
      <c r="N67" s="7" t="s">
        <v>132</v>
      </c>
      <c r="O67" s="7"/>
      <c r="P67" s="8">
        <v>44522</v>
      </c>
      <c r="Q67" s="7" t="s">
        <v>31</v>
      </c>
      <c r="R67" s="7" t="s">
        <v>32</v>
      </c>
      <c r="S67" s="7" t="s">
        <v>33</v>
      </c>
      <c r="T67" s="7"/>
      <c r="U67" s="7" t="s">
        <v>34</v>
      </c>
      <c r="V67" s="9">
        <v>1250.69</v>
      </c>
      <c r="W67" s="7">
        <v>539.29999999999995</v>
      </c>
      <c r="X67" s="7">
        <v>498.02</v>
      </c>
      <c r="Y67" s="7">
        <v>0</v>
      </c>
      <c r="Z67" s="7">
        <v>213.37</v>
      </c>
    </row>
    <row r="68" spans="1:26" x14ac:dyDescent="0.35">
      <c r="A68" s="7" t="s">
        <v>27</v>
      </c>
      <c r="B68" s="7" t="s">
        <v>28</v>
      </c>
      <c r="C68" s="7" t="s">
        <v>54</v>
      </c>
      <c r="D68" s="7" t="s">
        <v>118</v>
      </c>
      <c r="E68" s="7" t="s">
        <v>36</v>
      </c>
      <c r="F68" s="7" t="s">
        <v>133</v>
      </c>
      <c r="G68" s="7">
        <v>2021</v>
      </c>
      <c r="H68" s="7" t="str">
        <f>CONCATENATE("14240843947")</f>
        <v>14240843947</v>
      </c>
      <c r="I68" s="7" t="s">
        <v>29</v>
      </c>
      <c r="J68" s="7" t="s">
        <v>30</v>
      </c>
      <c r="K68" s="7" t="str">
        <f>CONCATENATE("")</f>
        <v/>
      </c>
      <c r="L68" s="7" t="str">
        <f>CONCATENATE("10 10.1 4a")</f>
        <v>10 10.1 4a</v>
      </c>
      <c r="M68" s="7" t="str">
        <f>CONCATENATE("TRVGPP74L22E256W")</f>
        <v>TRVGPP74L22E256W</v>
      </c>
      <c r="N68" s="7" t="s">
        <v>134</v>
      </c>
      <c r="O68" s="7"/>
      <c r="P68" s="8">
        <v>44522</v>
      </c>
      <c r="Q68" s="7" t="s">
        <v>31</v>
      </c>
      <c r="R68" s="7" t="s">
        <v>32</v>
      </c>
      <c r="S68" s="7" t="s">
        <v>33</v>
      </c>
      <c r="T68" s="7"/>
      <c r="U68" s="7" t="s">
        <v>34</v>
      </c>
      <c r="V68" s="9">
        <v>3230</v>
      </c>
      <c r="W68" s="9">
        <v>1392.78</v>
      </c>
      <c r="X68" s="9">
        <v>1286.19</v>
      </c>
      <c r="Y68" s="7">
        <v>0</v>
      </c>
      <c r="Z68" s="7">
        <v>551.03</v>
      </c>
    </row>
    <row r="69" spans="1:26" x14ac:dyDescent="0.35">
      <c r="A69" s="7" t="s">
        <v>27</v>
      </c>
      <c r="B69" s="7" t="s">
        <v>28</v>
      </c>
      <c r="C69" s="7" t="s">
        <v>54</v>
      </c>
      <c r="D69" s="7" t="s">
        <v>122</v>
      </c>
      <c r="E69" s="7" t="s">
        <v>38</v>
      </c>
      <c r="F69" s="7" t="s">
        <v>135</v>
      </c>
      <c r="G69" s="7">
        <v>2021</v>
      </c>
      <c r="H69" s="7" t="str">
        <f>CONCATENATE("14241081539")</f>
        <v>14241081539</v>
      </c>
      <c r="I69" s="7" t="s">
        <v>29</v>
      </c>
      <c r="J69" s="7" t="s">
        <v>30</v>
      </c>
      <c r="K69" s="7" t="str">
        <f>CONCATENATE("")</f>
        <v/>
      </c>
      <c r="L69" s="7" t="str">
        <f>CONCATENATE("10 10.1 4a")</f>
        <v>10 10.1 4a</v>
      </c>
      <c r="M69" s="7" t="str">
        <f>CONCATENATE("DTTDRD90S22E388C")</f>
        <v>DTTDRD90S22E388C</v>
      </c>
      <c r="N69" s="7" t="s">
        <v>136</v>
      </c>
      <c r="O69" s="7"/>
      <c r="P69" s="8">
        <v>44522</v>
      </c>
      <c r="Q69" s="7" t="s">
        <v>31</v>
      </c>
      <c r="R69" s="7" t="s">
        <v>32</v>
      </c>
      <c r="S69" s="7" t="s">
        <v>33</v>
      </c>
      <c r="T69" s="7"/>
      <c r="U69" s="7" t="s">
        <v>34</v>
      </c>
      <c r="V69" s="7">
        <v>237.9</v>
      </c>
      <c r="W69" s="7">
        <v>102.58</v>
      </c>
      <c r="X69" s="7">
        <v>94.73</v>
      </c>
      <c r="Y69" s="7">
        <v>0</v>
      </c>
      <c r="Z69" s="7">
        <v>40.590000000000003</v>
      </c>
    </row>
    <row r="70" spans="1:26" ht="17.5" x14ac:dyDescent="0.35">
      <c r="A70" s="7" t="s">
        <v>27</v>
      </c>
      <c r="B70" s="7" t="s">
        <v>28</v>
      </c>
      <c r="C70" s="7" t="s">
        <v>54</v>
      </c>
      <c r="D70" s="7" t="s">
        <v>122</v>
      </c>
      <c r="E70" s="7" t="s">
        <v>36</v>
      </c>
      <c r="F70" s="7" t="s">
        <v>137</v>
      </c>
      <c r="G70" s="7">
        <v>2021</v>
      </c>
      <c r="H70" s="7" t="str">
        <f>CONCATENATE("14240866195")</f>
        <v>14240866195</v>
      </c>
      <c r="I70" s="7" t="s">
        <v>29</v>
      </c>
      <c r="J70" s="7" t="s">
        <v>30</v>
      </c>
      <c r="K70" s="7" t="str">
        <f>CONCATENATE("")</f>
        <v/>
      </c>
      <c r="L70" s="7" t="str">
        <f>CONCATENATE("10 10.1 4a")</f>
        <v>10 10.1 4a</v>
      </c>
      <c r="M70" s="7" t="str">
        <f>CONCATENATE("02426410425")</f>
        <v>02426410425</v>
      </c>
      <c r="N70" s="7" t="s">
        <v>138</v>
      </c>
      <c r="O70" s="7"/>
      <c r="P70" s="8">
        <v>44522</v>
      </c>
      <c r="Q70" s="7" t="s">
        <v>31</v>
      </c>
      <c r="R70" s="7" t="s">
        <v>32</v>
      </c>
      <c r="S70" s="7" t="s">
        <v>33</v>
      </c>
      <c r="T70" s="7"/>
      <c r="U70" s="7" t="s">
        <v>34</v>
      </c>
      <c r="V70" s="9">
        <v>1475.7</v>
      </c>
      <c r="W70" s="7">
        <v>636.32000000000005</v>
      </c>
      <c r="X70" s="7">
        <v>587.62</v>
      </c>
      <c r="Y70" s="7">
        <v>0</v>
      </c>
      <c r="Z70" s="7">
        <v>251.76</v>
      </c>
    </row>
    <row r="71" spans="1:26" x14ac:dyDescent="0.35">
      <c r="A71" s="7" t="s">
        <v>27</v>
      </c>
      <c r="B71" s="7" t="s">
        <v>28</v>
      </c>
      <c r="C71" s="7" t="s">
        <v>54</v>
      </c>
      <c r="D71" s="7" t="s">
        <v>139</v>
      </c>
      <c r="E71" s="7" t="s">
        <v>44</v>
      </c>
      <c r="F71" s="7" t="s">
        <v>44</v>
      </c>
      <c r="G71" s="7">
        <v>2021</v>
      </c>
      <c r="H71" s="7" t="str">
        <f>CONCATENATE("14240868134")</f>
        <v>14240868134</v>
      </c>
      <c r="I71" s="7" t="s">
        <v>39</v>
      </c>
      <c r="J71" s="7" t="s">
        <v>30</v>
      </c>
      <c r="K71" s="7" t="str">
        <f>CONCATENATE("")</f>
        <v/>
      </c>
      <c r="L71" s="7" t="str">
        <f>CONCATENATE("10 10.1 4a")</f>
        <v>10 10.1 4a</v>
      </c>
      <c r="M71" s="7" t="str">
        <f>CONCATENATE("SCLMRC88D03D024S")</f>
        <v>SCLMRC88D03D024S</v>
      </c>
      <c r="N71" s="7" t="s">
        <v>140</v>
      </c>
      <c r="O71" s="7"/>
      <c r="P71" s="8">
        <v>44522</v>
      </c>
      <c r="Q71" s="7" t="s">
        <v>31</v>
      </c>
      <c r="R71" s="7" t="s">
        <v>32</v>
      </c>
      <c r="S71" s="7" t="s">
        <v>33</v>
      </c>
      <c r="T71" s="7"/>
      <c r="U71" s="7" t="s">
        <v>34</v>
      </c>
      <c r="V71" s="9">
        <v>2805</v>
      </c>
      <c r="W71" s="9">
        <v>1209.52</v>
      </c>
      <c r="X71" s="9">
        <v>1116.95</v>
      </c>
      <c r="Y71" s="7">
        <v>0</v>
      </c>
      <c r="Z71" s="7">
        <v>478.53</v>
      </c>
    </row>
    <row r="72" spans="1:26" x14ac:dyDescent="0.35">
      <c r="A72" s="7" t="s">
        <v>27</v>
      </c>
      <c r="B72" s="7" t="s">
        <v>28</v>
      </c>
      <c r="C72" s="7" t="s">
        <v>54</v>
      </c>
      <c r="D72" s="7" t="s">
        <v>139</v>
      </c>
      <c r="E72" s="7" t="s">
        <v>44</v>
      </c>
      <c r="F72" s="7" t="s">
        <v>44</v>
      </c>
      <c r="G72" s="7">
        <v>2021</v>
      </c>
      <c r="H72" s="7" t="str">
        <f>CONCATENATE("14240868407")</f>
        <v>14240868407</v>
      </c>
      <c r="I72" s="7" t="s">
        <v>39</v>
      </c>
      <c r="J72" s="7" t="s">
        <v>30</v>
      </c>
      <c r="K72" s="7" t="str">
        <f>CONCATENATE("")</f>
        <v/>
      </c>
      <c r="L72" s="7" t="str">
        <f>CONCATENATE("10 10.1 4a")</f>
        <v>10 10.1 4a</v>
      </c>
      <c r="M72" s="7" t="str">
        <f>CONCATENATE("SCLMRC88D03D024S")</f>
        <v>SCLMRC88D03D024S</v>
      </c>
      <c r="N72" s="7" t="s">
        <v>140</v>
      </c>
      <c r="O72" s="7"/>
      <c r="P72" s="8">
        <v>44522</v>
      </c>
      <c r="Q72" s="7" t="s">
        <v>31</v>
      </c>
      <c r="R72" s="7" t="s">
        <v>32</v>
      </c>
      <c r="S72" s="7" t="s">
        <v>33</v>
      </c>
      <c r="T72" s="7"/>
      <c r="U72" s="7" t="s">
        <v>34</v>
      </c>
      <c r="V72" s="9">
        <v>1785</v>
      </c>
      <c r="W72" s="7">
        <v>769.69</v>
      </c>
      <c r="X72" s="7">
        <v>710.79</v>
      </c>
      <c r="Y72" s="7">
        <v>0</v>
      </c>
      <c r="Z72" s="7">
        <v>304.52</v>
      </c>
    </row>
    <row r="73" spans="1:26" x14ac:dyDescent="0.35">
      <c r="A73" s="7" t="s">
        <v>27</v>
      </c>
      <c r="B73" s="7" t="s">
        <v>28</v>
      </c>
      <c r="C73" s="7" t="s">
        <v>54</v>
      </c>
      <c r="D73" s="7" t="s">
        <v>122</v>
      </c>
      <c r="E73" s="7" t="s">
        <v>38</v>
      </c>
      <c r="F73" s="7" t="s">
        <v>135</v>
      </c>
      <c r="G73" s="7">
        <v>2021</v>
      </c>
      <c r="H73" s="7" t="str">
        <f>CONCATENATE("14240879792")</f>
        <v>14240879792</v>
      </c>
      <c r="I73" s="7" t="s">
        <v>29</v>
      </c>
      <c r="J73" s="7" t="s">
        <v>30</v>
      </c>
      <c r="K73" s="7" t="str">
        <f>CONCATENATE("")</f>
        <v/>
      </c>
      <c r="L73" s="7" t="str">
        <f>CONCATENATE("10 10.1 4a")</f>
        <v>10 10.1 4a</v>
      </c>
      <c r="M73" s="7" t="str">
        <f>CONCATENATE("TDDFST53M05I251V")</f>
        <v>TDDFST53M05I251V</v>
      </c>
      <c r="N73" s="7" t="s">
        <v>141</v>
      </c>
      <c r="O73" s="7"/>
      <c r="P73" s="8">
        <v>44522</v>
      </c>
      <c r="Q73" s="7" t="s">
        <v>31</v>
      </c>
      <c r="R73" s="7" t="s">
        <v>32</v>
      </c>
      <c r="S73" s="7" t="s">
        <v>33</v>
      </c>
      <c r="T73" s="7"/>
      <c r="U73" s="7" t="s">
        <v>34</v>
      </c>
      <c r="V73" s="7">
        <v>60.76</v>
      </c>
      <c r="W73" s="7">
        <v>26.2</v>
      </c>
      <c r="X73" s="7">
        <v>24.19</v>
      </c>
      <c r="Y73" s="7">
        <v>0</v>
      </c>
      <c r="Z73" s="7">
        <v>10.37</v>
      </c>
    </row>
    <row r="74" spans="1:26" x14ac:dyDescent="0.35">
      <c r="A74" s="7" t="s">
        <v>27</v>
      </c>
      <c r="B74" s="7" t="s">
        <v>28</v>
      </c>
      <c r="C74" s="7" t="s">
        <v>54</v>
      </c>
      <c r="D74" s="7" t="s">
        <v>122</v>
      </c>
      <c r="E74" s="7" t="s">
        <v>38</v>
      </c>
      <c r="F74" s="7" t="s">
        <v>123</v>
      </c>
      <c r="G74" s="7">
        <v>2021</v>
      </c>
      <c r="H74" s="7" t="str">
        <f>CONCATENATE("14240882846")</f>
        <v>14240882846</v>
      </c>
      <c r="I74" s="7" t="s">
        <v>29</v>
      </c>
      <c r="J74" s="7" t="s">
        <v>30</v>
      </c>
      <c r="K74" s="7" t="str">
        <f>CONCATENATE("")</f>
        <v/>
      </c>
      <c r="L74" s="7" t="str">
        <f>CONCATENATE("10 10.1 4a")</f>
        <v>10 10.1 4a</v>
      </c>
      <c r="M74" s="7" t="str">
        <f>CONCATENATE("RSOMRA61S22D007J")</f>
        <v>RSOMRA61S22D007J</v>
      </c>
      <c r="N74" s="7" t="s">
        <v>142</v>
      </c>
      <c r="O74" s="7"/>
      <c r="P74" s="8">
        <v>44522</v>
      </c>
      <c r="Q74" s="7" t="s">
        <v>31</v>
      </c>
      <c r="R74" s="7" t="s">
        <v>32</v>
      </c>
      <c r="S74" s="7" t="s">
        <v>33</v>
      </c>
      <c r="T74" s="7"/>
      <c r="U74" s="7" t="s">
        <v>34</v>
      </c>
      <c r="V74" s="9">
        <v>2338.38</v>
      </c>
      <c r="W74" s="9">
        <v>1008.31</v>
      </c>
      <c r="X74" s="7">
        <v>931.14</v>
      </c>
      <c r="Y74" s="7">
        <v>0</v>
      </c>
      <c r="Z74" s="7">
        <v>398.93</v>
      </c>
    </row>
    <row r="75" spans="1:26" x14ac:dyDescent="0.35">
      <c r="A75" s="7" t="s">
        <v>27</v>
      </c>
      <c r="B75" s="7" t="s">
        <v>28</v>
      </c>
      <c r="C75" s="7" t="s">
        <v>54</v>
      </c>
      <c r="D75" s="7" t="s">
        <v>139</v>
      </c>
      <c r="E75" s="7" t="s">
        <v>37</v>
      </c>
      <c r="F75" s="7" t="s">
        <v>53</v>
      </c>
      <c r="G75" s="7">
        <v>2021</v>
      </c>
      <c r="H75" s="7" t="str">
        <f>CONCATENATE("14240961038")</f>
        <v>14240961038</v>
      </c>
      <c r="I75" s="7" t="s">
        <v>29</v>
      </c>
      <c r="J75" s="7" t="s">
        <v>30</v>
      </c>
      <c r="K75" s="7" t="str">
        <f>CONCATENATE("")</f>
        <v/>
      </c>
      <c r="L75" s="7" t="str">
        <f>CONCATENATE("10 10.1 4a")</f>
        <v>10 10.1 4a</v>
      </c>
      <c r="M75" s="7" t="str">
        <f>CONCATENATE("MCAMGS61R55I661H")</f>
        <v>MCAMGS61R55I661H</v>
      </c>
      <c r="N75" s="7" t="s">
        <v>143</v>
      </c>
      <c r="O75" s="7"/>
      <c r="P75" s="8">
        <v>44522</v>
      </c>
      <c r="Q75" s="7" t="s">
        <v>31</v>
      </c>
      <c r="R75" s="7" t="s">
        <v>32</v>
      </c>
      <c r="S75" s="7" t="s">
        <v>33</v>
      </c>
      <c r="T75" s="7"/>
      <c r="U75" s="7" t="s">
        <v>34</v>
      </c>
      <c r="V75" s="9">
        <v>2040</v>
      </c>
      <c r="W75" s="7">
        <v>879.65</v>
      </c>
      <c r="X75" s="7">
        <v>812.33</v>
      </c>
      <c r="Y75" s="7">
        <v>0</v>
      </c>
      <c r="Z75" s="7">
        <v>348.02</v>
      </c>
    </row>
    <row r="76" spans="1:26" x14ac:dyDescent="0.35">
      <c r="A76" s="7" t="s">
        <v>27</v>
      </c>
      <c r="B76" s="7" t="s">
        <v>28</v>
      </c>
      <c r="C76" s="7" t="s">
        <v>54</v>
      </c>
      <c r="D76" s="7" t="s">
        <v>118</v>
      </c>
      <c r="E76" s="7" t="s">
        <v>38</v>
      </c>
      <c r="F76" s="7" t="s">
        <v>144</v>
      </c>
      <c r="G76" s="7">
        <v>2021</v>
      </c>
      <c r="H76" s="7" t="str">
        <f>CONCATENATE("14241260695")</f>
        <v>14241260695</v>
      </c>
      <c r="I76" s="7" t="s">
        <v>29</v>
      </c>
      <c r="J76" s="7" t="s">
        <v>30</v>
      </c>
      <c r="K76" s="7" t="str">
        <f>CONCATENATE("")</f>
        <v/>
      </c>
      <c r="L76" s="7" t="str">
        <f>CONCATENATE("10 10.1 4a")</f>
        <v>10 10.1 4a</v>
      </c>
      <c r="M76" s="7" t="str">
        <f>CONCATENATE("RVLMRC75A17G453T")</f>
        <v>RVLMRC75A17G453T</v>
      </c>
      <c r="N76" s="7" t="s">
        <v>145</v>
      </c>
      <c r="O76" s="7"/>
      <c r="P76" s="8">
        <v>44522</v>
      </c>
      <c r="Q76" s="7" t="s">
        <v>31</v>
      </c>
      <c r="R76" s="7" t="s">
        <v>32</v>
      </c>
      <c r="S76" s="7" t="s">
        <v>33</v>
      </c>
      <c r="T76" s="7"/>
      <c r="U76" s="7" t="s">
        <v>34</v>
      </c>
      <c r="V76" s="7">
        <v>850</v>
      </c>
      <c r="W76" s="7">
        <v>366.52</v>
      </c>
      <c r="X76" s="7">
        <v>338.47</v>
      </c>
      <c r="Y76" s="7">
        <v>0</v>
      </c>
      <c r="Z76" s="7">
        <v>145.01</v>
      </c>
    </row>
    <row r="77" spans="1:26" ht="17.5" x14ac:dyDescent="0.35">
      <c r="A77" s="7" t="s">
        <v>27</v>
      </c>
      <c r="B77" s="7" t="s">
        <v>28</v>
      </c>
      <c r="C77" s="7" t="s">
        <v>54</v>
      </c>
      <c r="D77" s="7" t="s">
        <v>122</v>
      </c>
      <c r="E77" s="7" t="s">
        <v>38</v>
      </c>
      <c r="F77" s="7" t="s">
        <v>135</v>
      </c>
      <c r="G77" s="7">
        <v>2021</v>
      </c>
      <c r="H77" s="7" t="str">
        <f>CONCATENATE("14240957622")</f>
        <v>14240957622</v>
      </c>
      <c r="I77" s="7" t="s">
        <v>29</v>
      </c>
      <c r="J77" s="7" t="s">
        <v>30</v>
      </c>
      <c r="K77" s="7" t="str">
        <f>CONCATENATE("")</f>
        <v/>
      </c>
      <c r="L77" s="7" t="str">
        <f>CONCATENATE("10 10.1 4a")</f>
        <v>10 10.1 4a</v>
      </c>
      <c r="M77" s="7" t="str">
        <f>CONCATENATE("02705660427")</f>
        <v>02705660427</v>
      </c>
      <c r="N77" s="7" t="s">
        <v>146</v>
      </c>
      <c r="O77" s="7"/>
      <c r="P77" s="8">
        <v>44522</v>
      </c>
      <c r="Q77" s="7" t="s">
        <v>31</v>
      </c>
      <c r="R77" s="7" t="s">
        <v>32</v>
      </c>
      <c r="S77" s="7" t="s">
        <v>33</v>
      </c>
      <c r="T77" s="7"/>
      <c r="U77" s="7" t="s">
        <v>34</v>
      </c>
      <c r="V77" s="7">
        <v>462.88</v>
      </c>
      <c r="W77" s="7">
        <v>199.59</v>
      </c>
      <c r="X77" s="7">
        <v>184.32</v>
      </c>
      <c r="Y77" s="7">
        <v>0</v>
      </c>
      <c r="Z77" s="7">
        <v>78.97</v>
      </c>
    </row>
    <row r="78" spans="1:26" x14ac:dyDescent="0.35">
      <c r="A78" s="7" t="s">
        <v>27</v>
      </c>
      <c r="B78" s="7" t="s">
        <v>28</v>
      </c>
      <c r="C78" s="7" t="s">
        <v>54</v>
      </c>
      <c r="D78" s="7" t="s">
        <v>55</v>
      </c>
      <c r="E78" s="7" t="s">
        <v>36</v>
      </c>
      <c r="F78" s="7" t="s">
        <v>108</v>
      </c>
      <c r="G78" s="7">
        <v>2021</v>
      </c>
      <c r="H78" s="7" t="str">
        <f>CONCATENATE("14240979121")</f>
        <v>14240979121</v>
      </c>
      <c r="I78" s="7" t="s">
        <v>29</v>
      </c>
      <c r="J78" s="7" t="s">
        <v>30</v>
      </c>
      <c r="K78" s="7" t="str">
        <f>CONCATENATE("")</f>
        <v/>
      </c>
      <c r="L78" s="7" t="str">
        <f>CONCATENATE("10 10.1 4a")</f>
        <v>10 10.1 4a</v>
      </c>
      <c r="M78" s="7" t="str">
        <f>CONCATENATE("00112000443")</f>
        <v>00112000443</v>
      </c>
      <c r="N78" s="7" t="s">
        <v>147</v>
      </c>
      <c r="O78" s="7"/>
      <c r="P78" s="8">
        <v>44522</v>
      </c>
      <c r="Q78" s="7" t="s">
        <v>31</v>
      </c>
      <c r="R78" s="7" t="s">
        <v>32</v>
      </c>
      <c r="S78" s="7" t="s">
        <v>33</v>
      </c>
      <c r="T78" s="7"/>
      <c r="U78" s="7" t="s">
        <v>34</v>
      </c>
      <c r="V78" s="7">
        <v>544.71</v>
      </c>
      <c r="W78" s="7">
        <v>234.88</v>
      </c>
      <c r="X78" s="7">
        <v>216.9</v>
      </c>
      <c r="Y78" s="7">
        <v>0</v>
      </c>
      <c r="Z78" s="7">
        <v>92.93</v>
      </c>
    </row>
    <row r="79" spans="1:26" x14ac:dyDescent="0.35">
      <c r="A79" s="7" t="s">
        <v>27</v>
      </c>
      <c r="B79" s="7" t="s">
        <v>28</v>
      </c>
      <c r="C79" s="7" t="s">
        <v>54</v>
      </c>
      <c r="D79" s="7" t="s">
        <v>122</v>
      </c>
      <c r="E79" s="7" t="s">
        <v>36</v>
      </c>
      <c r="F79" s="7" t="s">
        <v>148</v>
      </c>
      <c r="G79" s="7">
        <v>2021</v>
      </c>
      <c r="H79" s="7" t="str">
        <f>CONCATENATE("14240991258")</f>
        <v>14240991258</v>
      </c>
      <c r="I79" s="7" t="s">
        <v>29</v>
      </c>
      <c r="J79" s="7" t="s">
        <v>30</v>
      </c>
      <c r="K79" s="7" t="str">
        <f>CONCATENATE("")</f>
        <v/>
      </c>
      <c r="L79" s="7" t="str">
        <f>CONCATENATE("10 10.1 4a")</f>
        <v>10 10.1 4a</v>
      </c>
      <c r="M79" s="7" t="str">
        <f>CONCATENATE("BRTPRN50M23H979H")</f>
        <v>BRTPRN50M23H979H</v>
      </c>
      <c r="N79" s="7" t="s">
        <v>149</v>
      </c>
      <c r="O79" s="7"/>
      <c r="P79" s="8">
        <v>44522</v>
      </c>
      <c r="Q79" s="7" t="s">
        <v>31</v>
      </c>
      <c r="R79" s="7" t="s">
        <v>32</v>
      </c>
      <c r="S79" s="7" t="s">
        <v>33</v>
      </c>
      <c r="T79" s="7"/>
      <c r="U79" s="7" t="s">
        <v>34</v>
      </c>
      <c r="V79" s="7">
        <v>435.34</v>
      </c>
      <c r="W79" s="7">
        <v>187.72</v>
      </c>
      <c r="X79" s="7">
        <v>173.35</v>
      </c>
      <c r="Y79" s="7">
        <v>0</v>
      </c>
      <c r="Z79" s="7">
        <v>74.27</v>
      </c>
    </row>
    <row r="80" spans="1:26" ht="17.5" x14ac:dyDescent="0.35">
      <c r="A80" s="7" t="s">
        <v>27</v>
      </c>
      <c r="B80" s="7" t="s">
        <v>28</v>
      </c>
      <c r="C80" s="7" t="s">
        <v>54</v>
      </c>
      <c r="D80" s="7" t="s">
        <v>122</v>
      </c>
      <c r="E80" s="7" t="s">
        <v>38</v>
      </c>
      <c r="F80" s="7" t="s">
        <v>135</v>
      </c>
      <c r="G80" s="7">
        <v>2021</v>
      </c>
      <c r="H80" s="7" t="str">
        <f>CONCATENATE("14241001917")</f>
        <v>14241001917</v>
      </c>
      <c r="I80" s="7" t="s">
        <v>29</v>
      </c>
      <c r="J80" s="7" t="s">
        <v>30</v>
      </c>
      <c r="K80" s="7" t="str">
        <f>CONCATENATE("")</f>
        <v/>
      </c>
      <c r="L80" s="7" t="str">
        <f>CONCATENATE("10 10.1 4a")</f>
        <v>10 10.1 4a</v>
      </c>
      <c r="M80" s="7" t="str">
        <f>CONCATENATE("02758090423")</f>
        <v>02758090423</v>
      </c>
      <c r="N80" s="7" t="s">
        <v>150</v>
      </c>
      <c r="O80" s="7"/>
      <c r="P80" s="8">
        <v>44522</v>
      </c>
      <c r="Q80" s="7" t="s">
        <v>31</v>
      </c>
      <c r="R80" s="7" t="s">
        <v>32</v>
      </c>
      <c r="S80" s="7" t="s">
        <v>33</v>
      </c>
      <c r="T80" s="7"/>
      <c r="U80" s="7" t="s">
        <v>34</v>
      </c>
      <c r="V80" s="7">
        <v>605.64</v>
      </c>
      <c r="W80" s="7">
        <v>261.14999999999998</v>
      </c>
      <c r="X80" s="7">
        <v>241.17</v>
      </c>
      <c r="Y80" s="7">
        <v>0</v>
      </c>
      <c r="Z80" s="7">
        <v>103.32</v>
      </c>
    </row>
    <row r="81" spans="1:26" x14ac:dyDescent="0.35">
      <c r="A81" s="7" t="s">
        <v>27</v>
      </c>
      <c r="B81" s="7" t="s">
        <v>28</v>
      </c>
      <c r="C81" s="7" t="s">
        <v>54</v>
      </c>
      <c r="D81" s="7" t="s">
        <v>139</v>
      </c>
      <c r="E81" s="7" t="s">
        <v>37</v>
      </c>
      <c r="F81" s="7" t="s">
        <v>151</v>
      </c>
      <c r="G81" s="7">
        <v>2021</v>
      </c>
      <c r="H81" s="7" t="str">
        <f>CONCATENATE("14241007781")</f>
        <v>14241007781</v>
      </c>
      <c r="I81" s="7" t="s">
        <v>29</v>
      </c>
      <c r="J81" s="7" t="s">
        <v>30</v>
      </c>
      <c r="K81" s="7" t="str">
        <f>CONCATENATE("")</f>
        <v/>
      </c>
      <c r="L81" s="7" t="str">
        <f>CONCATENATE("10 10.1 4a")</f>
        <v>10 10.1 4a</v>
      </c>
      <c r="M81" s="7" t="str">
        <f>CONCATENATE("LPPBBR74B62E783E")</f>
        <v>LPPBBR74B62E783E</v>
      </c>
      <c r="N81" s="7" t="s">
        <v>152</v>
      </c>
      <c r="O81" s="7"/>
      <c r="P81" s="8">
        <v>44522</v>
      </c>
      <c r="Q81" s="7" t="s">
        <v>31</v>
      </c>
      <c r="R81" s="7" t="s">
        <v>32</v>
      </c>
      <c r="S81" s="7" t="s">
        <v>33</v>
      </c>
      <c r="T81" s="7"/>
      <c r="U81" s="7" t="s">
        <v>34</v>
      </c>
      <c r="V81" s="7">
        <v>425.1</v>
      </c>
      <c r="W81" s="7">
        <v>183.3</v>
      </c>
      <c r="X81" s="7">
        <v>169.27</v>
      </c>
      <c r="Y81" s="7">
        <v>0</v>
      </c>
      <c r="Z81" s="7">
        <v>72.53</v>
      </c>
    </row>
    <row r="82" spans="1:26" x14ac:dyDescent="0.35">
      <c r="A82" s="7" t="s">
        <v>27</v>
      </c>
      <c r="B82" s="7" t="s">
        <v>28</v>
      </c>
      <c r="C82" s="7" t="s">
        <v>54</v>
      </c>
      <c r="D82" s="7" t="s">
        <v>118</v>
      </c>
      <c r="E82" s="7" t="s">
        <v>36</v>
      </c>
      <c r="F82" s="7" t="s">
        <v>133</v>
      </c>
      <c r="G82" s="7">
        <v>2021</v>
      </c>
      <c r="H82" s="7" t="str">
        <f>CONCATENATE("14241025155")</f>
        <v>14241025155</v>
      </c>
      <c r="I82" s="7" t="s">
        <v>29</v>
      </c>
      <c r="J82" s="7" t="s">
        <v>30</v>
      </c>
      <c r="K82" s="7" t="str">
        <f>CONCATENATE("")</f>
        <v/>
      </c>
      <c r="L82" s="7" t="str">
        <f>CONCATENATE("10 10.1 4a")</f>
        <v>10 10.1 4a</v>
      </c>
      <c r="M82" s="7" t="str">
        <f>CONCATENATE("SBSMSM74B16E256X")</f>
        <v>SBSMSM74B16E256X</v>
      </c>
      <c r="N82" s="7" t="s">
        <v>153</v>
      </c>
      <c r="O82" s="7"/>
      <c r="P82" s="8">
        <v>44522</v>
      </c>
      <c r="Q82" s="7" t="s">
        <v>31</v>
      </c>
      <c r="R82" s="7" t="s">
        <v>32</v>
      </c>
      <c r="S82" s="7" t="s">
        <v>33</v>
      </c>
      <c r="T82" s="7"/>
      <c r="U82" s="7" t="s">
        <v>34</v>
      </c>
      <c r="V82" s="9">
        <v>1700</v>
      </c>
      <c r="W82" s="7">
        <v>733.04</v>
      </c>
      <c r="X82" s="7">
        <v>676.94</v>
      </c>
      <c r="Y82" s="7">
        <v>0</v>
      </c>
      <c r="Z82" s="7">
        <v>290.02</v>
      </c>
    </row>
    <row r="83" spans="1:26" x14ac:dyDescent="0.35">
      <c r="A83" s="7" t="s">
        <v>27</v>
      </c>
      <c r="B83" s="7" t="s">
        <v>28</v>
      </c>
      <c r="C83" s="7" t="s">
        <v>54</v>
      </c>
      <c r="D83" s="7" t="s">
        <v>122</v>
      </c>
      <c r="E83" s="7" t="s">
        <v>38</v>
      </c>
      <c r="F83" s="7" t="s">
        <v>135</v>
      </c>
      <c r="G83" s="7">
        <v>2021</v>
      </c>
      <c r="H83" s="7" t="str">
        <f>CONCATENATE("14241031005")</f>
        <v>14241031005</v>
      </c>
      <c r="I83" s="7" t="s">
        <v>29</v>
      </c>
      <c r="J83" s="7" t="s">
        <v>30</v>
      </c>
      <c r="K83" s="7" t="str">
        <f>CONCATENATE("")</f>
        <v/>
      </c>
      <c r="L83" s="7" t="str">
        <f>CONCATENATE("10 10.1 4a")</f>
        <v>10 10.1 4a</v>
      </c>
      <c r="M83" s="7" t="str">
        <f>CONCATENATE("FTTPLA53A70A271Y")</f>
        <v>FTTPLA53A70A271Y</v>
      </c>
      <c r="N83" s="7" t="s">
        <v>154</v>
      </c>
      <c r="O83" s="7"/>
      <c r="P83" s="8">
        <v>44522</v>
      </c>
      <c r="Q83" s="7" t="s">
        <v>31</v>
      </c>
      <c r="R83" s="7" t="s">
        <v>32</v>
      </c>
      <c r="S83" s="7" t="s">
        <v>33</v>
      </c>
      <c r="T83" s="7"/>
      <c r="U83" s="7" t="s">
        <v>34</v>
      </c>
      <c r="V83" s="7">
        <v>125.01</v>
      </c>
      <c r="W83" s="7">
        <v>53.9</v>
      </c>
      <c r="X83" s="7">
        <v>49.78</v>
      </c>
      <c r="Y83" s="7">
        <v>0</v>
      </c>
      <c r="Z83" s="7">
        <v>21.33</v>
      </c>
    </row>
    <row r="84" spans="1:26" x14ac:dyDescent="0.35">
      <c r="A84" s="7" t="s">
        <v>27</v>
      </c>
      <c r="B84" s="7" t="s">
        <v>28</v>
      </c>
      <c r="C84" s="7" t="s">
        <v>54</v>
      </c>
      <c r="D84" s="7" t="s">
        <v>55</v>
      </c>
      <c r="E84" s="7" t="s">
        <v>36</v>
      </c>
      <c r="F84" s="7" t="s">
        <v>56</v>
      </c>
      <c r="G84" s="7">
        <v>2021</v>
      </c>
      <c r="H84" s="7" t="str">
        <f>CONCATENATE("14241047985")</f>
        <v>14241047985</v>
      </c>
      <c r="I84" s="7" t="s">
        <v>29</v>
      </c>
      <c r="J84" s="7" t="s">
        <v>30</v>
      </c>
      <c r="K84" s="7" t="str">
        <f>CONCATENATE("")</f>
        <v/>
      </c>
      <c r="L84" s="7" t="str">
        <f>CONCATENATE("10 10.1 4a")</f>
        <v>10 10.1 4a</v>
      </c>
      <c r="M84" s="7" t="str">
        <f>CONCATENATE("ZNTMLS71M41E507C")</f>
        <v>ZNTMLS71M41E507C</v>
      </c>
      <c r="N84" s="7" t="s">
        <v>155</v>
      </c>
      <c r="O84" s="7"/>
      <c r="P84" s="8">
        <v>44522</v>
      </c>
      <c r="Q84" s="7" t="s">
        <v>31</v>
      </c>
      <c r="R84" s="7" t="s">
        <v>32</v>
      </c>
      <c r="S84" s="7" t="s">
        <v>33</v>
      </c>
      <c r="T84" s="7"/>
      <c r="U84" s="7" t="s">
        <v>34</v>
      </c>
      <c r="V84" s="7">
        <v>671.16</v>
      </c>
      <c r="W84" s="7">
        <v>289.39999999999998</v>
      </c>
      <c r="X84" s="7">
        <v>267.26</v>
      </c>
      <c r="Y84" s="7">
        <v>0</v>
      </c>
      <c r="Z84" s="7">
        <v>114.5</v>
      </c>
    </row>
    <row r="85" spans="1:26" x14ac:dyDescent="0.35">
      <c r="A85" s="7" t="s">
        <v>27</v>
      </c>
      <c r="B85" s="7" t="s">
        <v>28</v>
      </c>
      <c r="C85" s="7" t="s">
        <v>54</v>
      </c>
      <c r="D85" s="7" t="s">
        <v>122</v>
      </c>
      <c r="E85" s="7" t="s">
        <v>40</v>
      </c>
      <c r="F85" s="7" t="s">
        <v>156</v>
      </c>
      <c r="G85" s="7">
        <v>2021</v>
      </c>
      <c r="H85" s="7" t="str">
        <f>CONCATENATE("14241073122")</f>
        <v>14241073122</v>
      </c>
      <c r="I85" s="7" t="s">
        <v>29</v>
      </c>
      <c r="J85" s="7" t="s">
        <v>30</v>
      </c>
      <c r="K85" s="7" t="str">
        <f>CONCATENATE("")</f>
        <v/>
      </c>
      <c r="L85" s="7" t="str">
        <f>CONCATENATE("10 10.1 4a")</f>
        <v>10 10.1 4a</v>
      </c>
      <c r="M85" s="7" t="str">
        <f>CONCATENATE("02077760425")</f>
        <v>02077760425</v>
      </c>
      <c r="N85" s="7" t="s">
        <v>157</v>
      </c>
      <c r="O85" s="7"/>
      <c r="P85" s="8">
        <v>44522</v>
      </c>
      <c r="Q85" s="7" t="s">
        <v>31</v>
      </c>
      <c r="R85" s="7" t="s">
        <v>32</v>
      </c>
      <c r="S85" s="7" t="s">
        <v>33</v>
      </c>
      <c r="T85" s="7"/>
      <c r="U85" s="7" t="s">
        <v>34</v>
      </c>
      <c r="V85" s="7">
        <v>83.16</v>
      </c>
      <c r="W85" s="7">
        <v>35.86</v>
      </c>
      <c r="X85" s="7">
        <v>33.11</v>
      </c>
      <c r="Y85" s="7">
        <v>0</v>
      </c>
      <c r="Z85" s="7">
        <v>14.19</v>
      </c>
    </row>
    <row r="86" spans="1:26" x14ac:dyDescent="0.35">
      <c r="A86" s="7" t="s">
        <v>27</v>
      </c>
      <c r="B86" s="7" t="s">
        <v>28</v>
      </c>
      <c r="C86" s="7" t="s">
        <v>54</v>
      </c>
      <c r="D86" s="7" t="s">
        <v>139</v>
      </c>
      <c r="E86" s="7" t="s">
        <v>35</v>
      </c>
      <c r="F86" s="7" t="s">
        <v>158</v>
      </c>
      <c r="G86" s="7">
        <v>2021</v>
      </c>
      <c r="H86" s="7" t="str">
        <f>CONCATENATE("14241079863")</f>
        <v>14241079863</v>
      </c>
      <c r="I86" s="7" t="s">
        <v>29</v>
      </c>
      <c r="J86" s="7" t="s">
        <v>30</v>
      </c>
      <c r="K86" s="7" t="str">
        <f>CONCATENATE("")</f>
        <v/>
      </c>
      <c r="L86" s="7" t="str">
        <f>CONCATENATE("10 10.1 4a")</f>
        <v>10 10.1 4a</v>
      </c>
      <c r="M86" s="7" t="str">
        <f>CONCATENATE("CPNVCN50M05L776R")</f>
        <v>CPNVCN50M05L776R</v>
      </c>
      <c r="N86" s="7" t="s">
        <v>159</v>
      </c>
      <c r="O86" s="7"/>
      <c r="P86" s="8">
        <v>44522</v>
      </c>
      <c r="Q86" s="7" t="s">
        <v>31</v>
      </c>
      <c r="R86" s="7" t="s">
        <v>32</v>
      </c>
      <c r="S86" s="7" t="s">
        <v>33</v>
      </c>
      <c r="T86" s="7"/>
      <c r="U86" s="7" t="s">
        <v>34</v>
      </c>
      <c r="V86" s="7">
        <v>227.29</v>
      </c>
      <c r="W86" s="7">
        <v>98.01</v>
      </c>
      <c r="X86" s="7">
        <v>90.51</v>
      </c>
      <c r="Y86" s="7">
        <v>0</v>
      </c>
      <c r="Z86" s="7">
        <v>38.770000000000003</v>
      </c>
    </row>
    <row r="87" spans="1:26" x14ac:dyDescent="0.35">
      <c r="A87" s="7" t="s">
        <v>27</v>
      </c>
      <c r="B87" s="7" t="s">
        <v>28</v>
      </c>
      <c r="C87" s="7" t="s">
        <v>54</v>
      </c>
      <c r="D87" s="7" t="s">
        <v>122</v>
      </c>
      <c r="E87" s="7" t="s">
        <v>38</v>
      </c>
      <c r="F87" s="7" t="s">
        <v>123</v>
      </c>
      <c r="G87" s="7">
        <v>2021</v>
      </c>
      <c r="H87" s="7" t="str">
        <f>CONCATENATE("14241162669")</f>
        <v>14241162669</v>
      </c>
      <c r="I87" s="7" t="s">
        <v>29</v>
      </c>
      <c r="J87" s="7" t="s">
        <v>30</v>
      </c>
      <c r="K87" s="7" t="str">
        <f>CONCATENATE("")</f>
        <v/>
      </c>
      <c r="L87" s="7" t="str">
        <f>CONCATENATE("10 10.1 4a")</f>
        <v>10 10.1 4a</v>
      </c>
      <c r="M87" s="7" t="str">
        <f>CONCATENATE("00973030422")</f>
        <v>00973030422</v>
      </c>
      <c r="N87" s="7" t="s">
        <v>160</v>
      </c>
      <c r="O87" s="7"/>
      <c r="P87" s="8">
        <v>44522</v>
      </c>
      <c r="Q87" s="7" t="s">
        <v>31</v>
      </c>
      <c r="R87" s="7" t="s">
        <v>32</v>
      </c>
      <c r="S87" s="7" t="s">
        <v>33</v>
      </c>
      <c r="T87" s="7"/>
      <c r="U87" s="7" t="s">
        <v>34</v>
      </c>
      <c r="V87" s="9">
        <v>5610</v>
      </c>
      <c r="W87" s="9">
        <v>2419.0300000000002</v>
      </c>
      <c r="X87" s="9">
        <v>2233.9</v>
      </c>
      <c r="Y87" s="7">
        <v>0</v>
      </c>
      <c r="Z87" s="7">
        <v>957.07</v>
      </c>
    </row>
    <row r="88" spans="1:26" x14ac:dyDescent="0.35">
      <c r="A88" s="7" t="s">
        <v>27</v>
      </c>
      <c r="B88" s="7" t="s">
        <v>28</v>
      </c>
      <c r="C88" s="7" t="s">
        <v>54</v>
      </c>
      <c r="D88" s="7" t="s">
        <v>139</v>
      </c>
      <c r="E88" s="7" t="s">
        <v>37</v>
      </c>
      <c r="F88" s="7" t="s">
        <v>45</v>
      </c>
      <c r="G88" s="7">
        <v>2021</v>
      </c>
      <c r="H88" s="7" t="str">
        <f>CONCATENATE("14241084160")</f>
        <v>14241084160</v>
      </c>
      <c r="I88" s="7" t="s">
        <v>29</v>
      </c>
      <c r="J88" s="7" t="s">
        <v>30</v>
      </c>
      <c r="K88" s="7" t="str">
        <f>CONCATENATE("")</f>
        <v/>
      </c>
      <c r="L88" s="7" t="str">
        <f>CONCATENATE("10 10.1 4a")</f>
        <v>10 10.1 4a</v>
      </c>
      <c r="M88" s="7" t="str">
        <f>CONCATENATE("01987370432")</f>
        <v>01987370432</v>
      </c>
      <c r="N88" s="7" t="s">
        <v>161</v>
      </c>
      <c r="O88" s="7"/>
      <c r="P88" s="8">
        <v>44522</v>
      </c>
      <c r="Q88" s="7" t="s">
        <v>31</v>
      </c>
      <c r="R88" s="7" t="s">
        <v>32</v>
      </c>
      <c r="S88" s="7" t="s">
        <v>33</v>
      </c>
      <c r="T88" s="7"/>
      <c r="U88" s="7" t="s">
        <v>34</v>
      </c>
      <c r="V88" s="9">
        <v>1758.96</v>
      </c>
      <c r="W88" s="7">
        <v>758.46</v>
      </c>
      <c r="X88" s="7">
        <v>700.42</v>
      </c>
      <c r="Y88" s="7">
        <v>0</v>
      </c>
      <c r="Z88" s="7">
        <v>300.08</v>
      </c>
    </row>
    <row r="89" spans="1:26" x14ac:dyDescent="0.35">
      <c r="A89" s="7" t="s">
        <v>27</v>
      </c>
      <c r="B89" s="7" t="s">
        <v>28</v>
      </c>
      <c r="C89" s="7" t="s">
        <v>54</v>
      </c>
      <c r="D89" s="7" t="s">
        <v>139</v>
      </c>
      <c r="E89" s="7" t="s">
        <v>37</v>
      </c>
      <c r="F89" s="7" t="s">
        <v>45</v>
      </c>
      <c r="G89" s="7">
        <v>2021</v>
      </c>
      <c r="H89" s="7" t="str">
        <f>CONCATENATE("14241087676")</f>
        <v>14241087676</v>
      </c>
      <c r="I89" s="7" t="s">
        <v>29</v>
      </c>
      <c r="J89" s="7" t="s">
        <v>30</v>
      </c>
      <c r="K89" s="7" t="str">
        <f>CONCATENATE("")</f>
        <v/>
      </c>
      <c r="L89" s="7" t="str">
        <f>CONCATENATE("10 10.1 4a")</f>
        <v>10 10.1 4a</v>
      </c>
      <c r="M89" s="7" t="str">
        <f>CONCATENATE("DLLGNN75D20D969O")</f>
        <v>DLLGNN75D20D969O</v>
      </c>
      <c r="N89" s="7" t="s">
        <v>162</v>
      </c>
      <c r="O89" s="7"/>
      <c r="P89" s="8">
        <v>44522</v>
      </c>
      <c r="Q89" s="7" t="s">
        <v>31</v>
      </c>
      <c r="R89" s="7" t="s">
        <v>32</v>
      </c>
      <c r="S89" s="7" t="s">
        <v>33</v>
      </c>
      <c r="T89" s="7"/>
      <c r="U89" s="7" t="s">
        <v>34</v>
      </c>
      <c r="V89" s="7">
        <v>347.21</v>
      </c>
      <c r="W89" s="7">
        <v>149.72</v>
      </c>
      <c r="X89" s="7">
        <v>138.26</v>
      </c>
      <c r="Y89" s="7">
        <v>0</v>
      </c>
      <c r="Z89" s="7">
        <v>59.23</v>
      </c>
    </row>
    <row r="90" spans="1:26" x14ac:dyDescent="0.35">
      <c r="A90" s="7" t="s">
        <v>27</v>
      </c>
      <c r="B90" s="7" t="s">
        <v>28</v>
      </c>
      <c r="C90" s="7" t="s">
        <v>54</v>
      </c>
      <c r="D90" s="7" t="s">
        <v>139</v>
      </c>
      <c r="E90" s="7" t="s">
        <v>40</v>
      </c>
      <c r="F90" s="7" t="s">
        <v>163</v>
      </c>
      <c r="G90" s="7">
        <v>2021</v>
      </c>
      <c r="H90" s="7" t="str">
        <f>CONCATENATE("14241197772")</f>
        <v>14241197772</v>
      </c>
      <c r="I90" s="7" t="s">
        <v>29</v>
      </c>
      <c r="J90" s="7" t="s">
        <v>30</v>
      </c>
      <c r="K90" s="7" t="str">
        <f>CONCATENATE("")</f>
        <v/>
      </c>
      <c r="L90" s="7" t="str">
        <f>CONCATENATE("10 10.1 4a")</f>
        <v>10 10.1 4a</v>
      </c>
      <c r="M90" s="7" t="str">
        <f>CONCATENATE("01112570435")</f>
        <v>01112570435</v>
      </c>
      <c r="N90" s="7" t="s">
        <v>164</v>
      </c>
      <c r="O90" s="7"/>
      <c r="P90" s="8">
        <v>44522</v>
      </c>
      <c r="Q90" s="7" t="s">
        <v>31</v>
      </c>
      <c r="R90" s="7" t="s">
        <v>32</v>
      </c>
      <c r="S90" s="7" t="s">
        <v>33</v>
      </c>
      <c r="T90" s="7"/>
      <c r="U90" s="7" t="s">
        <v>34</v>
      </c>
      <c r="V90" s="7">
        <v>312.77</v>
      </c>
      <c r="W90" s="7">
        <v>134.87</v>
      </c>
      <c r="X90" s="7">
        <v>124.55</v>
      </c>
      <c r="Y90" s="7">
        <v>0</v>
      </c>
      <c r="Z90" s="7">
        <v>53.35</v>
      </c>
    </row>
    <row r="91" spans="1:26" x14ac:dyDescent="0.35">
      <c r="A91" s="7" t="s">
        <v>27</v>
      </c>
      <c r="B91" s="7" t="s">
        <v>28</v>
      </c>
      <c r="C91" s="7" t="s">
        <v>54</v>
      </c>
      <c r="D91" s="7" t="s">
        <v>122</v>
      </c>
      <c r="E91" s="7" t="s">
        <v>42</v>
      </c>
      <c r="F91" s="7" t="s">
        <v>165</v>
      </c>
      <c r="G91" s="7">
        <v>2021</v>
      </c>
      <c r="H91" s="7" t="str">
        <f>CONCATENATE("14241183772")</f>
        <v>14241183772</v>
      </c>
      <c r="I91" s="7" t="s">
        <v>29</v>
      </c>
      <c r="J91" s="7" t="s">
        <v>30</v>
      </c>
      <c r="K91" s="7" t="str">
        <f>CONCATENATE("")</f>
        <v/>
      </c>
      <c r="L91" s="7" t="str">
        <f>CONCATENATE("10 10.1 4a")</f>
        <v>10 10.1 4a</v>
      </c>
      <c r="M91" s="7" t="str">
        <f>CONCATENATE("NGLNDR81S30D451Q")</f>
        <v>NGLNDR81S30D451Q</v>
      </c>
      <c r="N91" s="7" t="s">
        <v>166</v>
      </c>
      <c r="O91" s="7"/>
      <c r="P91" s="8">
        <v>44522</v>
      </c>
      <c r="Q91" s="7" t="s">
        <v>31</v>
      </c>
      <c r="R91" s="7" t="s">
        <v>32</v>
      </c>
      <c r="S91" s="7" t="s">
        <v>33</v>
      </c>
      <c r="T91" s="7"/>
      <c r="U91" s="7" t="s">
        <v>34</v>
      </c>
      <c r="V91" s="7">
        <v>943.5</v>
      </c>
      <c r="W91" s="7">
        <v>406.84</v>
      </c>
      <c r="X91" s="7">
        <v>375.7</v>
      </c>
      <c r="Y91" s="7">
        <v>0</v>
      </c>
      <c r="Z91" s="7">
        <v>160.96</v>
      </c>
    </row>
    <row r="92" spans="1:26" x14ac:dyDescent="0.35">
      <c r="A92" s="7" t="s">
        <v>27</v>
      </c>
      <c r="B92" s="7" t="s">
        <v>28</v>
      </c>
      <c r="C92" s="7" t="s">
        <v>54</v>
      </c>
      <c r="D92" s="7" t="s">
        <v>139</v>
      </c>
      <c r="E92" s="7" t="s">
        <v>36</v>
      </c>
      <c r="F92" s="7" t="s">
        <v>167</v>
      </c>
      <c r="G92" s="7">
        <v>2021</v>
      </c>
      <c r="H92" s="7" t="str">
        <f>CONCATENATE("14241145342")</f>
        <v>14241145342</v>
      </c>
      <c r="I92" s="7" t="s">
        <v>29</v>
      </c>
      <c r="J92" s="7" t="s">
        <v>30</v>
      </c>
      <c r="K92" s="7" t="str">
        <f>CONCATENATE("")</f>
        <v/>
      </c>
      <c r="L92" s="7" t="str">
        <f>CONCATENATE("10 10.1 4a")</f>
        <v>10 10.1 4a</v>
      </c>
      <c r="M92" s="7" t="str">
        <f>CONCATENATE("01939990436")</f>
        <v>01939990436</v>
      </c>
      <c r="N92" s="7" t="s">
        <v>168</v>
      </c>
      <c r="O92" s="7"/>
      <c r="P92" s="8">
        <v>44522</v>
      </c>
      <c r="Q92" s="7" t="s">
        <v>31</v>
      </c>
      <c r="R92" s="7" t="s">
        <v>32</v>
      </c>
      <c r="S92" s="7" t="s">
        <v>33</v>
      </c>
      <c r="T92" s="7"/>
      <c r="U92" s="7" t="s">
        <v>34</v>
      </c>
      <c r="V92" s="9">
        <v>1328.28</v>
      </c>
      <c r="W92" s="7">
        <v>572.75</v>
      </c>
      <c r="X92" s="7">
        <v>528.91999999999996</v>
      </c>
      <c r="Y92" s="7">
        <v>0</v>
      </c>
      <c r="Z92" s="7">
        <v>226.61</v>
      </c>
    </row>
    <row r="93" spans="1:26" x14ac:dyDescent="0.35">
      <c r="A93" s="7" t="s">
        <v>27</v>
      </c>
      <c r="B93" s="7" t="s">
        <v>28</v>
      </c>
      <c r="C93" s="7" t="s">
        <v>54</v>
      </c>
      <c r="D93" s="7" t="s">
        <v>122</v>
      </c>
      <c r="E93" s="7" t="s">
        <v>36</v>
      </c>
      <c r="F93" s="7" t="s">
        <v>169</v>
      </c>
      <c r="G93" s="7">
        <v>2021</v>
      </c>
      <c r="H93" s="7" t="str">
        <f>CONCATENATE("14241152165")</f>
        <v>14241152165</v>
      </c>
      <c r="I93" s="7" t="s">
        <v>29</v>
      </c>
      <c r="J93" s="7" t="s">
        <v>30</v>
      </c>
      <c r="K93" s="7" t="str">
        <f>CONCATENATE("")</f>
        <v/>
      </c>
      <c r="L93" s="7" t="str">
        <f>CONCATENATE("10 10.1 4a")</f>
        <v>10 10.1 4a</v>
      </c>
      <c r="M93" s="7" t="str">
        <f>CONCATENATE("BCCMRA88E66D451X")</f>
        <v>BCCMRA88E66D451X</v>
      </c>
      <c r="N93" s="7" t="s">
        <v>170</v>
      </c>
      <c r="O93" s="7"/>
      <c r="P93" s="8">
        <v>44522</v>
      </c>
      <c r="Q93" s="7" t="s">
        <v>31</v>
      </c>
      <c r="R93" s="7" t="s">
        <v>32</v>
      </c>
      <c r="S93" s="7" t="s">
        <v>33</v>
      </c>
      <c r="T93" s="7"/>
      <c r="U93" s="7" t="s">
        <v>34</v>
      </c>
      <c r="V93" s="9">
        <v>1360</v>
      </c>
      <c r="W93" s="7">
        <v>586.42999999999995</v>
      </c>
      <c r="X93" s="7">
        <v>541.54999999999995</v>
      </c>
      <c r="Y93" s="7">
        <v>0</v>
      </c>
      <c r="Z93" s="7">
        <v>232.02</v>
      </c>
    </row>
    <row r="94" spans="1:26" x14ac:dyDescent="0.35">
      <c r="A94" s="7" t="s">
        <v>27</v>
      </c>
      <c r="B94" s="7" t="s">
        <v>28</v>
      </c>
      <c r="C94" s="7" t="s">
        <v>54</v>
      </c>
      <c r="D94" s="7" t="s">
        <v>139</v>
      </c>
      <c r="E94" s="7" t="s">
        <v>42</v>
      </c>
      <c r="F94" s="7" t="s">
        <v>171</v>
      </c>
      <c r="G94" s="7">
        <v>2021</v>
      </c>
      <c r="H94" s="7" t="str">
        <f>CONCATENATE("14241240846")</f>
        <v>14241240846</v>
      </c>
      <c r="I94" s="7" t="s">
        <v>29</v>
      </c>
      <c r="J94" s="7" t="s">
        <v>30</v>
      </c>
      <c r="K94" s="7" t="str">
        <f>CONCATENATE("")</f>
        <v/>
      </c>
      <c r="L94" s="7" t="str">
        <f>CONCATENATE("10 10.1 4a")</f>
        <v>10 10.1 4a</v>
      </c>
      <c r="M94" s="7" t="str">
        <f>CONCATENATE("BNDRCR90C02B474M")</f>
        <v>BNDRCR90C02B474M</v>
      </c>
      <c r="N94" s="7" t="s">
        <v>172</v>
      </c>
      <c r="O94" s="7"/>
      <c r="P94" s="8">
        <v>44522</v>
      </c>
      <c r="Q94" s="7" t="s">
        <v>31</v>
      </c>
      <c r="R94" s="7" t="s">
        <v>32</v>
      </c>
      <c r="S94" s="7" t="s">
        <v>33</v>
      </c>
      <c r="T94" s="7"/>
      <c r="U94" s="7" t="s">
        <v>34</v>
      </c>
      <c r="V94" s="9">
        <v>1550.4</v>
      </c>
      <c r="W94" s="7">
        <v>668.53</v>
      </c>
      <c r="X94" s="7">
        <v>617.37</v>
      </c>
      <c r="Y94" s="7">
        <v>0</v>
      </c>
      <c r="Z94" s="7">
        <v>264.5</v>
      </c>
    </row>
    <row r="95" spans="1:26" x14ac:dyDescent="0.35">
      <c r="A95" s="7" t="s">
        <v>27</v>
      </c>
      <c r="B95" s="7" t="s">
        <v>28</v>
      </c>
      <c r="C95" s="7" t="s">
        <v>54</v>
      </c>
      <c r="D95" s="7" t="s">
        <v>139</v>
      </c>
      <c r="E95" s="7" t="s">
        <v>36</v>
      </c>
      <c r="F95" s="7" t="s">
        <v>52</v>
      </c>
      <c r="G95" s="7">
        <v>2021</v>
      </c>
      <c r="H95" s="7" t="str">
        <f>CONCATENATE("14241163733")</f>
        <v>14241163733</v>
      </c>
      <c r="I95" s="7" t="s">
        <v>29</v>
      </c>
      <c r="J95" s="7" t="s">
        <v>30</v>
      </c>
      <c r="K95" s="7" t="str">
        <f>CONCATENATE("")</f>
        <v/>
      </c>
      <c r="L95" s="7" t="str">
        <f>CONCATENATE("10 10.1 4a")</f>
        <v>10 10.1 4a</v>
      </c>
      <c r="M95" s="7" t="str">
        <f>CONCATENATE("RLAMCR50S10G637S")</f>
        <v>RLAMCR50S10G637S</v>
      </c>
      <c r="N95" s="7" t="s">
        <v>173</v>
      </c>
      <c r="O95" s="7"/>
      <c r="P95" s="8">
        <v>44522</v>
      </c>
      <c r="Q95" s="7" t="s">
        <v>31</v>
      </c>
      <c r="R95" s="7" t="s">
        <v>32</v>
      </c>
      <c r="S95" s="7" t="s">
        <v>33</v>
      </c>
      <c r="T95" s="7"/>
      <c r="U95" s="7" t="s">
        <v>34</v>
      </c>
      <c r="V95" s="9">
        <v>4182</v>
      </c>
      <c r="W95" s="9">
        <v>1803.28</v>
      </c>
      <c r="X95" s="9">
        <v>1665.27</v>
      </c>
      <c r="Y95" s="7">
        <v>0</v>
      </c>
      <c r="Z95" s="7">
        <v>713.45</v>
      </c>
    </row>
    <row r="96" spans="1:26" x14ac:dyDescent="0.35">
      <c r="A96" s="7" t="s">
        <v>27</v>
      </c>
      <c r="B96" s="7" t="s">
        <v>28</v>
      </c>
      <c r="C96" s="7" t="s">
        <v>54</v>
      </c>
      <c r="D96" s="7" t="s">
        <v>118</v>
      </c>
      <c r="E96" s="7" t="s">
        <v>36</v>
      </c>
      <c r="F96" s="7" t="s">
        <v>133</v>
      </c>
      <c r="G96" s="7">
        <v>2021</v>
      </c>
      <c r="H96" s="7" t="str">
        <f>CONCATENATE("14241164483")</f>
        <v>14241164483</v>
      </c>
      <c r="I96" s="7" t="s">
        <v>29</v>
      </c>
      <c r="J96" s="7" t="s">
        <v>30</v>
      </c>
      <c r="K96" s="7" t="str">
        <f>CONCATENATE("")</f>
        <v/>
      </c>
      <c r="L96" s="7" t="str">
        <f>CONCATENATE("10 10.1 4a")</f>
        <v>10 10.1 4a</v>
      </c>
      <c r="M96" s="7" t="str">
        <f>CONCATENATE("DRUFNC63C69B636V")</f>
        <v>DRUFNC63C69B636V</v>
      </c>
      <c r="N96" s="7" t="s">
        <v>174</v>
      </c>
      <c r="O96" s="7"/>
      <c r="P96" s="8">
        <v>44522</v>
      </c>
      <c r="Q96" s="7" t="s">
        <v>31</v>
      </c>
      <c r="R96" s="7" t="s">
        <v>32</v>
      </c>
      <c r="S96" s="7" t="s">
        <v>33</v>
      </c>
      <c r="T96" s="7"/>
      <c r="U96" s="7" t="s">
        <v>34</v>
      </c>
      <c r="V96" s="9">
        <v>2210</v>
      </c>
      <c r="W96" s="7">
        <v>952.95</v>
      </c>
      <c r="X96" s="7">
        <v>880.02</v>
      </c>
      <c r="Y96" s="7">
        <v>0</v>
      </c>
      <c r="Z96" s="7">
        <v>377.03</v>
      </c>
    </row>
    <row r="97" spans="1:26" x14ac:dyDescent="0.35">
      <c r="A97" s="7" t="s">
        <v>27</v>
      </c>
      <c r="B97" s="7" t="s">
        <v>28</v>
      </c>
      <c r="C97" s="7" t="s">
        <v>54</v>
      </c>
      <c r="D97" s="7" t="s">
        <v>139</v>
      </c>
      <c r="E97" s="7" t="s">
        <v>36</v>
      </c>
      <c r="F97" s="7" t="s">
        <v>167</v>
      </c>
      <c r="G97" s="7">
        <v>2021</v>
      </c>
      <c r="H97" s="7" t="str">
        <f>CONCATENATE("14241171025")</f>
        <v>14241171025</v>
      </c>
      <c r="I97" s="7" t="s">
        <v>29</v>
      </c>
      <c r="J97" s="7" t="s">
        <v>30</v>
      </c>
      <c r="K97" s="7" t="str">
        <f>CONCATENATE("")</f>
        <v/>
      </c>
      <c r="L97" s="7" t="str">
        <f>CONCATENATE("10 10.1 4a")</f>
        <v>10 10.1 4a</v>
      </c>
      <c r="M97" s="7" t="str">
        <f>CONCATENATE("01939990436")</f>
        <v>01939990436</v>
      </c>
      <c r="N97" s="7" t="s">
        <v>168</v>
      </c>
      <c r="O97" s="7"/>
      <c r="P97" s="8">
        <v>44522</v>
      </c>
      <c r="Q97" s="7" t="s">
        <v>31</v>
      </c>
      <c r="R97" s="7" t="s">
        <v>32</v>
      </c>
      <c r="S97" s="7" t="s">
        <v>33</v>
      </c>
      <c r="T97" s="7"/>
      <c r="U97" s="7" t="s">
        <v>34</v>
      </c>
      <c r="V97" s="9">
        <v>1887</v>
      </c>
      <c r="W97" s="7">
        <v>813.67</v>
      </c>
      <c r="X97" s="7">
        <v>751.4</v>
      </c>
      <c r="Y97" s="7">
        <v>0</v>
      </c>
      <c r="Z97" s="7">
        <v>321.93</v>
      </c>
    </row>
    <row r="98" spans="1:26" x14ac:dyDescent="0.35">
      <c r="A98" s="7" t="s">
        <v>27</v>
      </c>
      <c r="B98" s="7" t="s">
        <v>28</v>
      </c>
      <c r="C98" s="7" t="s">
        <v>54</v>
      </c>
      <c r="D98" s="7" t="s">
        <v>122</v>
      </c>
      <c r="E98" s="7" t="s">
        <v>38</v>
      </c>
      <c r="F98" s="7" t="s">
        <v>123</v>
      </c>
      <c r="G98" s="7">
        <v>2021</v>
      </c>
      <c r="H98" s="7" t="str">
        <f>CONCATENATE("14241178319")</f>
        <v>14241178319</v>
      </c>
      <c r="I98" s="7" t="s">
        <v>29</v>
      </c>
      <c r="J98" s="7" t="s">
        <v>30</v>
      </c>
      <c r="K98" s="7" t="str">
        <f>CONCATENATE("")</f>
        <v/>
      </c>
      <c r="L98" s="7" t="str">
        <f>CONCATENATE("10 10.1 4a")</f>
        <v>10 10.1 4a</v>
      </c>
      <c r="M98" s="7" t="str">
        <f>CONCATENATE("RZZLNZ77R23E388J")</f>
        <v>RZZLNZ77R23E388J</v>
      </c>
      <c r="N98" s="7" t="s">
        <v>175</v>
      </c>
      <c r="O98" s="7"/>
      <c r="P98" s="8">
        <v>44522</v>
      </c>
      <c r="Q98" s="7" t="s">
        <v>31</v>
      </c>
      <c r="R98" s="7" t="s">
        <v>32</v>
      </c>
      <c r="S98" s="7" t="s">
        <v>33</v>
      </c>
      <c r="T98" s="7"/>
      <c r="U98" s="7" t="s">
        <v>34</v>
      </c>
      <c r="V98" s="9">
        <v>2784.94</v>
      </c>
      <c r="W98" s="9">
        <v>1200.8699999999999</v>
      </c>
      <c r="X98" s="9">
        <v>1108.96</v>
      </c>
      <c r="Y98" s="7">
        <v>0</v>
      </c>
      <c r="Z98" s="7">
        <v>475.11</v>
      </c>
    </row>
    <row r="99" spans="1:26" x14ac:dyDescent="0.35">
      <c r="A99" s="7" t="s">
        <v>27</v>
      </c>
      <c r="B99" s="7" t="s">
        <v>28</v>
      </c>
      <c r="C99" s="7" t="s">
        <v>54</v>
      </c>
      <c r="D99" s="7" t="s">
        <v>118</v>
      </c>
      <c r="E99" s="7" t="s">
        <v>36</v>
      </c>
      <c r="F99" s="7" t="s">
        <v>133</v>
      </c>
      <c r="G99" s="7">
        <v>2021</v>
      </c>
      <c r="H99" s="7" t="str">
        <f>CONCATENATE("14241181222")</f>
        <v>14241181222</v>
      </c>
      <c r="I99" s="7" t="s">
        <v>29</v>
      </c>
      <c r="J99" s="7" t="s">
        <v>30</v>
      </c>
      <c r="K99" s="7" t="str">
        <f>CONCATENATE("")</f>
        <v/>
      </c>
      <c r="L99" s="7" t="str">
        <f>CONCATENATE("10 10.1 4a")</f>
        <v>10 10.1 4a</v>
      </c>
      <c r="M99" s="7" t="str">
        <f>CONCATENATE("02212780411")</f>
        <v>02212780411</v>
      </c>
      <c r="N99" s="7" t="s">
        <v>176</v>
      </c>
      <c r="O99" s="7"/>
      <c r="P99" s="8">
        <v>44522</v>
      </c>
      <c r="Q99" s="7" t="s">
        <v>31</v>
      </c>
      <c r="R99" s="7" t="s">
        <v>32</v>
      </c>
      <c r="S99" s="7" t="s">
        <v>33</v>
      </c>
      <c r="T99" s="7"/>
      <c r="U99" s="7" t="s">
        <v>34</v>
      </c>
      <c r="V99" s="9">
        <v>5100</v>
      </c>
      <c r="W99" s="9">
        <v>2199.12</v>
      </c>
      <c r="X99" s="9">
        <v>2030.82</v>
      </c>
      <c r="Y99" s="7">
        <v>0</v>
      </c>
      <c r="Z99" s="7">
        <v>870.06</v>
      </c>
    </row>
    <row r="100" spans="1:26" x14ac:dyDescent="0.35">
      <c r="A100" s="7" t="s">
        <v>27</v>
      </c>
      <c r="B100" s="7" t="s">
        <v>28</v>
      </c>
      <c r="C100" s="7" t="s">
        <v>54</v>
      </c>
      <c r="D100" s="7" t="s">
        <v>118</v>
      </c>
      <c r="E100" s="7" t="s">
        <v>36</v>
      </c>
      <c r="F100" s="7" t="s">
        <v>133</v>
      </c>
      <c r="G100" s="7">
        <v>2021</v>
      </c>
      <c r="H100" s="7" t="str">
        <f>CONCATENATE("14241193144")</f>
        <v>14241193144</v>
      </c>
      <c r="I100" s="7" t="s">
        <v>29</v>
      </c>
      <c r="J100" s="7" t="s">
        <v>30</v>
      </c>
      <c r="K100" s="7" t="str">
        <f>CONCATENATE("")</f>
        <v/>
      </c>
      <c r="L100" s="7" t="str">
        <f>CONCATENATE("10 10.1 4a")</f>
        <v>10 10.1 4a</v>
      </c>
      <c r="M100" s="7" t="str">
        <f>CONCATENATE("RMTFST55R10G478J")</f>
        <v>RMTFST55R10G478J</v>
      </c>
      <c r="N100" s="7" t="s">
        <v>177</v>
      </c>
      <c r="O100" s="7"/>
      <c r="P100" s="8">
        <v>44522</v>
      </c>
      <c r="Q100" s="7" t="s">
        <v>31</v>
      </c>
      <c r="R100" s="7" t="s">
        <v>32</v>
      </c>
      <c r="S100" s="7" t="s">
        <v>33</v>
      </c>
      <c r="T100" s="7"/>
      <c r="U100" s="7" t="s">
        <v>34</v>
      </c>
      <c r="V100" s="9">
        <v>3400</v>
      </c>
      <c r="W100" s="9">
        <v>1466.08</v>
      </c>
      <c r="X100" s="9">
        <v>1353.88</v>
      </c>
      <c r="Y100" s="7">
        <v>0</v>
      </c>
      <c r="Z100" s="7">
        <v>580.04</v>
      </c>
    </row>
    <row r="101" spans="1:26" x14ac:dyDescent="0.35">
      <c r="A101" s="7" t="s">
        <v>27</v>
      </c>
      <c r="B101" s="7" t="s">
        <v>28</v>
      </c>
      <c r="C101" s="7" t="s">
        <v>54</v>
      </c>
      <c r="D101" s="7" t="s">
        <v>122</v>
      </c>
      <c r="E101" s="7" t="s">
        <v>36</v>
      </c>
      <c r="F101" s="7" t="s">
        <v>169</v>
      </c>
      <c r="G101" s="7">
        <v>2021</v>
      </c>
      <c r="H101" s="7" t="str">
        <f>CONCATENATE("14241193797")</f>
        <v>14241193797</v>
      </c>
      <c r="I101" s="7" t="s">
        <v>29</v>
      </c>
      <c r="J101" s="7" t="s">
        <v>30</v>
      </c>
      <c r="K101" s="7" t="str">
        <f>CONCATENATE("")</f>
        <v/>
      </c>
      <c r="L101" s="7" t="str">
        <f>CONCATENATE("10 10.1 4a")</f>
        <v>10 10.1 4a</v>
      </c>
      <c r="M101" s="7" t="str">
        <f>CONCATENATE("PCGRNT71C29D451J")</f>
        <v>PCGRNT71C29D451J</v>
      </c>
      <c r="N101" s="7" t="s">
        <v>178</v>
      </c>
      <c r="O101" s="7"/>
      <c r="P101" s="8">
        <v>44522</v>
      </c>
      <c r="Q101" s="7" t="s">
        <v>31</v>
      </c>
      <c r="R101" s="7" t="s">
        <v>32</v>
      </c>
      <c r="S101" s="7" t="s">
        <v>33</v>
      </c>
      <c r="T101" s="7"/>
      <c r="U101" s="7" t="s">
        <v>34</v>
      </c>
      <c r="V101" s="9">
        <v>1428</v>
      </c>
      <c r="W101" s="7">
        <v>615.75</v>
      </c>
      <c r="X101" s="7">
        <v>568.63</v>
      </c>
      <c r="Y101" s="7">
        <v>0</v>
      </c>
      <c r="Z101" s="7">
        <v>243.62</v>
      </c>
    </row>
    <row r="102" spans="1:26" x14ac:dyDescent="0.35">
      <c r="A102" s="7" t="s">
        <v>27</v>
      </c>
      <c r="B102" s="7" t="s">
        <v>28</v>
      </c>
      <c r="C102" s="7" t="s">
        <v>54</v>
      </c>
      <c r="D102" s="7" t="s">
        <v>55</v>
      </c>
      <c r="E102" s="7" t="s">
        <v>44</v>
      </c>
      <c r="F102" s="7" t="s">
        <v>44</v>
      </c>
      <c r="G102" s="7">
        <v>2021</v>
      </c>
      <c r="H102" s="7" t="str">
        <f>CONCATENATE("14241191221")</f>
        <v>14241191221</v>
      </c>
      <c r="I102" s="7" t="s">
        <v>29</v>
      </c>
      <c r="J102" s="7" t="s">
        <v>30</v>
      </c>
      <c r="K102" s="7" t="str">
        <f>CONCATENATE("")</f>
        <v/>
      </c>
      <c r="L102" s="7" t="str">
        <f>CONCATENATE("10 10.1 4a")</f>
        <v>10 10.1 4a</v>
      </c>
      <c r="M102" s="7" t="str">
        <f>CONCATENATE("CPRCLD84M02H769E")</f>
        <v>CPRCLD84M02H769E</v>
      </c>
      <c r="N102" s="7" t="s">
        <v>179</v>
      </c>
      <c r="O102" s="7"/>
      <c r="P102" s="8">
        <v>44522</v>
      </c>
      <c r="Q102" s="7" t="s">
        <v>31</v>
      </c>
      <c r="R102" s="7" t="s">
        <v>32</v>
      </c>
      <c r="S102" s="7" t="s">
        <v>33</v>
      </c>
      <c r="T102" s="7"/>
      <c r="U102" s="7" t="s">
        <v>34</v>
      </c>
      <c r="V102" s="9">
        <v>1310.5</v>
      </c>
      <c r="W102" s="7">
        <v>565.09</v>
      </c>
      <c r="X102" s="7">
        <v>521.84</v>
      </c>
      <c r="Y102" s="7">
        <v>0</v>
      </c>
      <c r="Z102" s="7">
        <v>223.57</v>
      </c>
    </row>
    <row r="103" spans="1:26" x14ac:dyDescent="0.35">
      <c r="A103" s="7" t="s">
        <v>27</v>
      </c>
      <c r="B103" s="7" t="s">
        <v>28</v>
      </c>
      <c r="C103" s="7" t="s">
        <v>54</v>
      </c>
      <c r="D103" s="7" t="s">
        <v>118</v>
      </c>
      <c r="E103" s="7" t="s">
        <v>36</v>
      </c>
      <c r="F103" s="7" t="s">
        <v>133</v>
      </c>
      <c r="G103" s="7">
        <v>2021</v>
      </c>
      <c r="H103" s="7" t="str">
        <f>CONCATENATE("14241192567")</f>
        <v>14241192567</v>
      </c>
      <c r="I103" s="7" t="s">
        <v>29</v>
      </c>
      <c r="J103" s="7" t="s">
        <v>30</v>
      </c>
      <c r="K103" s="7" t="str">
        <f>CONCATENATE("")</f>
        <v/>
      </c>
      <c r="L103" s="7" t="str">
        <f>CONCATENATE("10 10.1 4a")</f>
        <v>10 10.1 4a</v>
      </c>
      <c r="M103" s="7" t="str">
        <f>CONCATENATE("02030490417")</f>
        <v>02030490417</v>
      </c>
      <c r="N103" s="7" t="s">
        <v>180</v>
      </c>
      <c r="O103" s="7"/>
      <c r="P103" s="8">
        <v>44522</v>
      </c>
      <c r="Q103" s="7" t="s">
        <v>31</v>
      </c>
      <c r="R103" s="7" t="s">
        <v>32</v>
      </c>
      <c r="S103" s="7" t="s">
        <v>33</v>
      </c>
      <c r="T103" s="7"/>
      <c r="U103" s="7" t="s">
        <v>34</v>
      </c>
      <c r="V103" s="7">
        <v>170</v>
      </c>
      <c r="W103" s="7">
        <v>73.3</v>
      </c>
      <c r="X103" s="7">
        <v>67.69</v>
      </c>
      <c r="Y103" s="7">
        <v>0</v>
      </c>
      <c r="Z103" s="7">
        <v>29.01</v>
      </c>
    </row>
    <row r="104" spans="1:26" x14ac:dyDescent="0.35">
      <c r="A104" s="7" t="s">
        <v>27</v>
      </c>
      <c r="B104" s="7" t="s">
        <v>28</v>
      </c>
      <c r="C104" s="7" t="s">
        <v>54</v>
      </c>
      <c r="D104" s="7" t="s">
        <v>139</v>
      </c>
      <c r="E104" s="7" t="s">
        <v>35</v>
      </c>
      <c r="F104" s="7" t="s">
        <v>49</v>
      </c>
      <c r="G104" s="7">
        <v>2021</v>
      </c>
      <c r="H104" s="7" t="str">
        <f>CONCATENATE("14241197129")</f>
        <v>14241197129</v>
      </c>
      <c r="I104" s="7" t="s">
        <v>29</v>
      </c>
      <c r="J104" s="7" t="s">
        <v>30</v>
      </c>
      <c r="K104" s="7" t="str">
        <f>CONCATENATE("")</f>
        <v/>
      </c>
      <c r="L104" s="7" t="str">
        <f>CONCATENATE("10 10.1 4a")</f>
        <v>10 10.1 4a</v>
      </c>
      <c r="M104" s="7" t="str">
        <f>CONCATENATE("01985780434")</f>
        <v>01985780434</v>
      </c>
      <c r="N104" s="7" t="s">
        <v>181</v>
      </c>
      <c r="O104" s="7"/>
      <c r="P104" s="8">
        <v>44522</v>
      </c>
      <c r="Q104" s="7" t="s">
        <v>31</v>
      </c>
      <c r="R104" s="7" t="s">
        <v>32</v>
      </c>
      <c r="S104" s="7" t="s">
        <v>33</v>
      </c>
      <c r="T104" s="7"/>
      <c r="U104" s="7" t="s">
        <v>34</v>
      </c>
      <c r="V104" s="7">
        <v>395.18</v>
      </c>
      <c r="W104" s="7">
        <v>170.4</v>
      </c>
      <c r="X104" s="7">
        <v>157.36000000000001</v>
      </c>
      <c r="Y104" s="7">
        <v>0</v>
      </c>
      <c r="Z104" s="7">
        <v>67.42</v>
      </c>
    </row>
    <row r="105" spans="1:26" x14ac:dyDescent="0.35">
      <c r="A105" s="7" t="s">
        <v>27</v>
      </c>
      <c r="B105" s="7" t="s">
        <v>28</v>
      </c>
      <c r="C105" s="7" t="s">
        <v>54</v>
      </c>
      <c r="D105" s="7" t="s">
        <v>139</v>
      </c>
      <c r="E105" s="7" t="s">
        <v>37</v>
      </c>
      <c r="F105" s="7" t="s">
        <v>151</v>
      </c>
      <c r="G105" s="7">
        <v>2021</v>
      </c>
      <c r="H105" s="7" t="str">
        <f>CONCATENATE("14241204040")</f>
        <v>14241204040</v>
      </c>
      <c r="I105" s="7" t="s">
        <v>29</v>
      </c>
      <c r="J105" s="7" t="s">
        <v>30</v>
      </c>
      <c r="K105" s="7" t="str">
        <f>CONCATENATE("")</f>
        <v/>
      </c>
      <c r="L105" s="7" t="str">
        <f>CONCATENATE("10 10.1 4a")</f>
        <v>10 10.1 4a</v>
      </c>
      <c r="M105" s="7" t="str">
        <f>CONCATENATE("GRZGCM85M11L191L")</f>
        <v>GRZGCM85M11L191L</v>
      </c>
      <c r="N105" s="7" t="s">
        <v>182</v>
      </c>
      <c r="O105" s="7"/>
      <c r="P105" s="8">
        <v>44522</v>
      </c>
      <c r="Q105" s="7" t="s">
        <v>31</v>
      </c>
      <c r="R105" s="7" t="s">
        <v>32</v>
      </c>
      <c r="S105" s="7" t="s">
        <v>33</v>
      </c>
      <c r="T105" s="7"/>
      <c r="U105" s="7" t="s">
        <v>34</v>
      </c>
      <c r="V105" s="7">
        <v>876.89</v>
      </c>
      <c r="W105" s="7">
        <v>378.11</v>
      </c>
      <c r="X105" s="7">
        <v>349.18</v>
      </c>
      <c r="Y105" s="7">
        <v>0</v>
      </c>
      <c r="Z105" s="7">
        <v>149.6</v>
      </c>
    </row>
    <row r="106" spans="1:26" x14ac:dyDescent="0.35">
      <c r="A106" s="7" t="s">
        <v>27</v>
      </c>
      <c r="B106" s="7" t="s">
        <v>28</v>
      </c>
      <c r="C106" s="7" t="s">
        <v>54</v>
      </c>
      <c r="D106" s="7" t="s">
        <v>118</v>
      </c>
      <c r="E106" s="7" t="s">
        <v>36</v>
      </c>
      <c r="F106" s="7" t="s">
        <v>119</v>
      </c>
      <c r="G106" s="7">
        <v>2021</v>
      </c>
      <c r="H106" s="7" t="str">
        <f>CONCATENATE("14241226894")</f>
        <v>14241226894</v>
      </c>
      <c r="I106" s="7" t="s">
        <v>29</v>
      </c>
      <c r="J106" s="7" t="s">
        <v>30</v>
      </c>
      <c r="K106" s="7" t="str">
        <f>CONCATENATE("")</f>
        <v/>
      </c>
      <c r="L106" s="7" t="str">
        <f>CONCATENATE("10 10.1 4a")</f>
        <v>10 10.1 4a</v>
      </c>
      <c r="M106" s="7" t="str">
        <f>CONCATENATE("LNZPLM83P51C424T")</f>
        <v>LNZPLM83P51C424T</v>
      </c>
      <c r="N106" s="7" t="s">
        <v>183</v>
      </c>
      <c r="O106" s="7"/>
      <c r="P106" s="8">
        <v>44522</v>
      </c>
      <c r="Q106" s="7" t="s">
        <v>31</v>
      </c>
      <c r="R106" s="7" t="s">
        <v>32</v>
      </c>
      <c r="S106" s="7" t="s">
        <v>33</v>
      </c>
      <c r="T106" s="7"/>
      <c r="U106" s="7" t="s">
        <v>34</v>
      </c>
      <c r="V106" s="7">
        <v>170</v>
      </c>
      <c r="W106" s="7">
        <v>73.3</v>
      </c>
      <c r="X106" s="7">
        <v>67.69</v>
      </c>
      <c r="Y106" s="7">
        <v>0</v>
      </c>
      <c r="Z106" s="7">
        <v>29.01</v>
      </c>
    </row>
    <row r="107" spans="1:26" x14ac:dyDescent="0.35">
      <c r="A107" s="7" t="s">
        <v>27</v>
      </c>
      <c r="B107" s="7" t="s">
        <v>28</v>
      </c>
      <c r="C107" s="7" t="s">
        <v>54</v>
      </c>
      <c r="D107" s="7" t="s">
        <v>139</v>
      </c>
      <c r="E107" s="7" t="s">
        <v>36</v>
      </c>
      <c r="F107" s="7" t="s">
        <v>184</v>
      </c>
      <c r="G107" s="7">
        <v>2021</v>
      </c>
      <c r="H107" s="7" t="str">
        <f>CONCATENATE("14241235614")</f>
        <v>14241235614</v>
      </c>
      <c r="I107" s="7" t="s">
        <v>29</v>
      </c>
      <c r="J107" s="7" t="s">
        <v>30</v>
      </c>
      <c r="K107" s="7" t="str">
        <f>CONCATENATE("")</f>
        <v/>
      </c>
      <c r="L107" s="7" t="str">
        <f>CONCATENATE("10 10.1 4a")</f>
        <v>10 10.1 4a</v>
      </c>
      <c r="M107" s="7" t="str">
        <f>CONCATENATE("FRRCST71E52F205B")</f>
        <v>FRRCST71E52F205B</v>
      </c>
      <c r="N107" s="7" t="s">
        <v>185</v>
      </c>
      <c r="O107" s="7"/>
      <c r="P107" s="8">
        <v>44522</v>
      </c>
      <c r="Q107" s="7" t="s">
        <v>31</v>
      </c>
      <c r="R107" s="7" t="s">
        <v>32</v>
      </c>
      <c r="S107" s="7" t="s">
        <v>33</v>
      </c>
      <c r="T107" s="7"/>
      <c r="U107" s="7" t="s">
        <v>34</v>
      </c>
      <c r="V107" s="7">
        <v>819.55</v>
      </c>
      <c r="W107" s="7">
        <v>353.39</v>
      </c>
      <c r="X107" s="7">
        <v>326.33999999999997</v>
      </c>
      <c r="Y107" s="7">
        <v>0</v>
      </c>
      <c r="Z107" s="7">
        <v>139.82</v>
      </c>
    </row>
    <row r="108" spans="1:26" x14ac:dyDescent="0.35">
      <c r="A108" s="7" t="s">
        <v>27</v>
      </c>
      <c r="B108" s="7" t="s">
        <v>28</v>
      </c>
      <c r="C108" s="7" t="s">
        <v>54</v>
      </c>
      <c r="D108" s="7" t="s">
        <v>122</v>
      </c>
      <c r="E108" s="7" t="s">
        <v>36</v>
      </c>
      <c r="F108" s="7" t="s">
        <v>169</v>
      </c>
      <c r="G108" s="7">
        <v>2021</v>
      </c>
      <c r="H108" s="7" t="str">
        <f>CONCATENATE("14241257717")</f>
        <v>14241257717</v>
      </c>
      <c r="I108" s="7" t="s">
        <v>29</v>
      </c>
      <c r="J108" s="7" t="s">
        <v>30</v>
      </c>
      <c r="K108" s="7" t="str">
        <f>CONCATENATE("")</f>
        <v/>
      </c>
      <c r="L108" s="7" t="str">
        <f>CONCATENATE("10 10.1 4a")</f>
        <v>10 10.1 4a</v>
      </c>
      <c r="M108" s="7" t="str">
        <f>CONCATENATE("PCGRMG65A13Z133V")</f>
        <v>PCGRMG65A13Z133V</v>
      </c>
      <c r="N108" s="7" t="s">
        <v>186</v>
      </c>
      <c r="O108" s="7"/>
      <c r="P108" s="8">
        <v>44522</v>
      </c>
      <c r="Q108" s="7" t="s">
        <v>31</v>
      </c>
      <c r="R108" s="7" t="s">
        <v>32</v>
      </c>
      <c r="S108" s="7" t="s">
        <v>33</v>
      </c>
      <c r="T108" s="7"/>
      <c r="U108" s="7" t="s">
        <v>34</v>
      </c>
      <c r="V108" s="9">
        <v>2575.5</v>
      </c>
      <c r="W108" s="9">
        <v>1110.56</v>
      </c>
      <c r="X108" s="9">
        <v>1025.56</v>
      </c>
      <c r="Y108" s="7">
        <v>0</v>
      </c>
      <c r="Z108" s="7">
        <v>439.38</v>
      </c>
    </row>
    <row r="109" spans="1:26" x14ac:dyDescent="0.35">
      <c r="A109" s="7" t="s">
        <v>27</v>
      </c>
      <c r="B109" s="7" t="s">
        <v>28</v>
      </c>
      <c r="C109" s="7" t="s">
        <v>54</v>
      </c>
      <c r="D109" s="7" t="s">
        <v>139</v>
      </c>
      <c r="E109" s="7" t="s">
        <v>37</v>
      </c>
      <c r="F109" s="7" t="s">
        <v>151</v>
      </c>
      <c r="G109" s="7">
        <v>2021</v>
      </c>
      <c r="H109" s="7" t="str">
        <f>CONCATENATE("14241283853")</f>
        <v>14241283853</v>
      </c>
      <c r="I109" s="7" t="s">
        <v>29</v>
      </c>
      <c r="J109" s="7" t="s">
        <v>30</v>
      </c>
      <c r="K109" s="7" t="str">
        <f>CONCATENATE("")</f>
        <v/>
      </c>
      <c r="L109" s="7" t="str">
        <f>CONCATENATE("10 10.1 4a")</f>
        <v>10 10.1 4a</v>
      </c>
      <c r="M109" s="7" t="str">
        <f>CONCATENATE("01909630434")</f>
        <v>01909630434</v>
      </c>
      <c r="N109" s="7" t="s">
        <v>187</v>
      </c>
      <c r="O109" s="7"/>
      <c r="P109" s="8">
        <v>44522</v>
      </c>
      <c r="Q109" s="7" t="s">
        <v>31</v>
      </c>
      <c r="R109" s="7" t="s">
        <v>32</v>
      </c>
      <c r="S109" s="7" t="s">
        <v>33</v>
      </c>
      <c r="T109" s="7"/>
      <c r="U109" s="7" t="s">
        <v>34</v>
      </c>
      <c r="V109" s="7">
        <v>435.5</v>
      </c>
      <c r="W109" s="7">
        <v>187.79</v>
      </c>
      <c r="X109" s="7">
        <v>173.42</v>
      </c>
      <c r="Y109" s="7">
        <v>0</v>
      </c>
      <c r="Z109" s="7">
        <v>74.290000000000006</v>
      </c>
    </row>
    <row r="110" spans="1:26" x14ac:dyDescent="0.35">
      <c r="A110" s="7" t="s">
        <v>27</v>
      </c>
      <c r="B110" s="7" t="s">
        <v>28</v>
      </c>
      <c r="C110" s="7" t="s">
        <v>54</v>
      </c>
      <c r="D110" s="7" t="s">
        <v>118</v>
      </c>
      <c r="E110" s="7" t="s">
        <v>36</v>
      </c>
      <c r="F110" s="7" t="s">
        <v>133</v>
      </c>
      <c r="G110" s="7">
        <v>2021</v>
      </c>
      <c r="H110" s="7" t="str">
        <f>CONCATENATE("14241292888")</f>
        <v>14241292888</v>
      </c>
      <c r="I110" s="7" t="s">
        <v>29</v>
      </c>
      <c r="J110" s="7" t="s">
        <v>30</v>
      </c>
      <c r="K110" s="7" t="str">
        <f>CONCATENATE("")</f>
        <v/>
      </c>
      <c r="L110" s="7" t="str">
        <f>CONCATENATE("10 10.1 4a")</f>
        <v>10 10.1 4a</v>
      </c>
      <c r="M110" s="7" t="str">
        <f>CONCATENATE("FCCLSS87R19E256Q")</f>
        <v>FCCLSS87R19E256Q</v>
      </c>
      <c r="N110" s="7" t="s">
        <v>188</v>
      </c>
      <c r="O110" s="7"/>
      <c r="P110" s="8">
        <v>44522</v>
      </c>
      <c r="Q110" s="7" t="s">
        <v>31</v>
      </c>
      <c r="R110" s="7" t="s">
        <v>32</v>
      </c>
      <c r="S110" s="7" t="s">
        <v>33</v>
      </c>
      <c r="T110" s="7"/>
      <c r="U110" s="7" t="s">
        <v>34</v>
      </c>
      <c r="V110" s="9">
        <v>1360</v>
      </c>
      <c r="W110" s="7">
        <v>586.42999999999995</v>
      </c>
      <c r="X110" s="7">
        <v>541.54999999999995</v>
      </c>
      <c r="Y110" s="7">
        <v>0</v>
      </c>
      <c r="Z110" s="7">
        <v>232.02</v>
      </c>
    </row>
    <row r="111" spans="1:26" x14ac:dyDescent="0.35">
      <c r="A111" s="7" t="s">
        <v>27</v>
      </c>
      <c r="B111" s="7" t="s">
        <v>28</v>
      </c>
      <c r="C111" s="7" t="s">
        <v>54</v>
      </c>
      <c r="D111" s="7" t="s">
        <v>139</v>
      </c>
      <c r="E111" s="7" t="s">
        <v>37</v>
      </c>
      <c r="F111" s="7" t="s">
        <v>151</v>
      </c>
      <c r="G111" s="7">
        <v>2021</v>
      </c>
      <c r="H111" s="7" t="str">
        <f>CONCATENATE("14241306308")</f>
        <v>14241306308</v>
      </c>
      <c r="I111" s="7" t="s">
        <v>29</v>
      </c>
      <c r="J111" s="7" t="s">
        <v>30</v>
      </c>
      <c r="K111" s="7" t="str">
        <f>CONCATENATE("")</f>
        <v/>
      </c>
      <c r="L111" s="7" t="str">
        <f>CONCATENATE("10 10.1 4a")</f>
        <v>10 10.1 4a</v>
      </c>
      <c r="M111" s="7" t="str">
        <f>CONCATENATE("01914620438")</f>
        <v>01914620438</v>
      </c>
      <c r="N111" s="7" t="s">
        <v>189</v>
      </c>
      <c r="O111" s="7"/>
      <c r="P111" s="8">
        <v>44522</v>
      </c>
      <c r="Q111" s="7" t="s">
        <v>31</v>
      </c>
      <c r="R111" s="7" t="s">
        <v>32</v>
      </c>
      <c r="S111" s="7" t="s">
        <v>33</v>
      </c>
      <c r="T111" s="7"/>
      <c r="U111" s="7" t="s">
        <v>34</v>
      </c>
      <c r="V111" s="7">
        <v>169.8</v>
      </c>
      <c r="W111" s="7">
        <v>73.22</v>
      </c>
      <c r="X111" s="7">
        <v>67.61</v>
      </c>
      <c r="Y111" s="7">
        <v>0</v>
      </c>
      <c r="Z111" s="7">
        <v>28.97</v>
      </c>
    </row>
    <row r="112" spans="1:26" ht="17.5" x14ac:dyDescent="0.35">
      <c r="A112" s="7" t="s">
        <v>27</v>
      </c>
      <c r="B112" s="7" t="s">
        <v>28</v>
      </c>
      <c r="C112" s="7" t="s">
        <v>54</v>
      </c>
      <c r="D112" s="7" t="s">
        <v>139</v>
      </c>
      <c r="E112" s="7" t="s">
        <v>37</v>
      </c>
      <c r="F112" s="7" t="s">
        <v>45</v>
      </c>
      <c r="G112" s="7">
        <v>2021</v>
      </c>
      <c r="H112" s="7" t="str">
        <f>CONCATENATE("14241371872")</f>
        <v>14241371872</v>
      </c>
      <c r="I112" s="7" t="s">
        <v>29</v>
      </c>
      <c r="J112" s="7" t="s">
        <v>30</v>
      </c>
      <c r="K112" s="7" t="str">
        <f>CONCATENATE("")</f>
        <v/>
      </c>
      <c r="L112" s="7" t="str">
        <f>CONCATENATE("10 10.1 4a")</f>
        <v>10 10.1 4a</v>
      </c>
      <c r="M112" s="7" t="str">
        <f>CONCATENATE("01709190431")</f>
        <v>01709190431</v>
      </c>
      <c r="N112" s="7" t="s">
        <v>190</v>
      </c>
      <c r="O112" s="7"/>
      <c r="P112" s="8">
        <v>44522</v>
      </c>
      <c r="Q112" s="7" t="s">
        <v>31</v>
      </c>
      <c r="R112" s="7" t="s">
        <v>32</v>
      </c>
      <c r="S112" s="7" t="s">
        <v>33</v>
      </c>
      <c r="T112" s="7"/>
      <c r="U112" s="7" t="s">
        <v>34</v>
      </c>
      <c r="V112" s="9">
        <v>3314.08</v>
      </c>
      <c r="W112" s="9">
        <v>1429.03</v>
      </c>
      <c r="X112" s="9">
        <v>1319.67</v>
      </c>
      <c r="Y112" s="7">
        <v>0</v>
      </c>
      <c r="Z112" s="7">
        <v>565.38</v>
      </c>
    </row>
    <row r="113" spans="1:26" x14ac:dyDescent="0.35">
      <c r="A113" s="7" t="s">
        <v>27</v>
      </c>
      <c r="B113" s="7" t="s">
        <v>28</v>
      </c>
      <c r="C113" s="7" t="s">
        <v>54</v>
      </c>
      <c r="D113" s="7" t="s">
        <v>118</v>
      </c>
      <c r="E113" s="7" t="s">
        <v>37</v>
      </c>
      <c r="F113" s="7" t="s">
        <v>45</v>
      </c>
      <c r="G113" s="7">
        <v>2021</v>
      </c>
      <c r="H113" s="7" t="str">
        <f>CONCATENATE("14241373191")</f>
        <v>14241373191</v>
      </c>
      <c r="I113" s="7" t="s">
        <v>29</v>
      </c>
      <c r="J113" s="7" t="s">
        <v>30</v>
      </c>
      <c r="K113" s="7" t="str">
        <f>CONCATENATE("")</f>
        <v/>
      </c>
      <c r="L113" s="7" t="str">
        <f>CONCATENATE("10 10.1 4a")</f>
        <v>10 10.1 4a</v>
      </c>
      <c r="M113" s="7" t="str">
        <f>CONCATENATE("02629240413")</f>
        <v>02629240413</v>
      </c>
      <c r="N113" s="7" t="s">
        <v>191</v>
      </c>
      <c r="O113" s="7"/>
      <c r="P113" s="8">
        <v>44522</v>
      </c>
      <c r="Q113" s="7" t="s">
        <v>31</v>
      </c>
      <c r="R113" s="7" t="s">
        <v>32</v>
      </c>
      <c r="S113" s="7" t="s">
        <v>33</v>
      </c>
      <c r="T113" s="7"/>
      <c r="U113" s="7" t="s">
        <v>34</v>
      </c>
      <c r="V113" s="7">
        <v>340</v>
      </c>
      <c r="W113" s="7">
        <v>146.61000000000001</v>
      </c>
      <c r="X113" s="7">
        <v>135.38999999999999</v>
      </c>
      <c r="Y113" s="7">
        <v>0</v>
      </c>
      <c r="Z113" s="7">
        <v>58</v>
      </c>
    </row>
    <row r="114" spans="1:26" x14ac:dyDescent="0.35">
      <c r="A114" s="7" t="s">
        <v>27</v>
      </c>
      <c r="B114" s="7" t="s">
        <v>28</v>
      </c>
      <c r="C114" s="7" t="s">
        <v>54</v>
      </c>
      <c r="D114" s="7" t="s">
        <v>139</v>
      </c>
      <c r="E114" s="7" t="s">
        <v>36</v>
      </c>
      <c r="F114" s="7" t="s">
        <v>52</v>
      </c>
      <c r="G114" s="7">
        <v>2021</v>
      </c>
      <c r="H114" s="7" t="str">
        <f>CONCATENATE("14241381814")</f>
        <v>14241381814</v>
      </c>
      <c r="I114" s="7" t="s">
        <v>29</v>
      </c>
      <c r="J114" s="7" t="s">
        <v>30</v>
      </c>
      <c r="K114" s="7" t="str">
        <f>CONCATENATE("")</f>
        <v/>
      </c>
      <c r="L114" s="7" t="str">
        <f>CONCATENATE("10 10.1 4a")</f>
        <v>10 10.1 4a</v>
      </c>
      <c r="M114" s="7" t="str">
        <f>CONCATENATE("01932960436")</f>
        <v>01932960436</v>
      </c>
      <c r="N114" s="7" t="s">
        <v>192</v>
      </c>
      <c r="O114" s="7"/>
      <c r="P114" s="8">
        <v>44522</v>
      </c>
      <c r="Q114" s="7" t="s">
        <v>31</v>
      </c>
      <c r="R114" s="7" t="s">
        <v>32</v>
      </c>
      <c r="S114" s="7" t="s">
        <v>33</v>
      </c>
      <c r="T114" s="7"/>
      <c r="U114" s="7" t="s">
        <v>34</v>
      </c>
      <c r="V114" s="7">
        <v>436.19</v>
      </c>
      <c r="W114" s="7">
        <v>188.09</v>
      </c>
      <c r="X114" s="7">
        <v>173.69</v>
      </c>
      <c r="Y114" s="7">
        <v>0</v>
      </c>
      <c r="Z114" s="7">
        <v>74.41</v>
      </c>
    </row>
    <row r="115" spans="1:26" x14ac:dyDescent="0.35">
      <c r="A115" s="7" t="s">
        <v>27</v>
      </c>
      <c r="B115" s="7" t="s">
        <v>28</v>
      </c>
      <c r="C115" s="7" t="s">
        <v>54</v>
      </c>
      <c r="D115" s="7" t="s">
        <v>139</v>
      </c>
      <c r="E115" s="7" t="s">
        <v>40</v>
      </c>
      <c r="F115" s="7" t="s">
        <v>193</v>
      </c>
      <c r="G115" s="7">
        <v>2021</v>
      </c>
      <c r="H115" s="7" t="str">
        <f>CONCATENATE("14240376013")</f>
        <v>14240376013</v>
      </c>
      <c r="I115" s="7" t="s">
        <v>29</v>
      </c>
      <c r="J115" s="7" t="s">
        <v>30</v>
      </c>
      <c r="K115" s="7" t="str">
        <f>CONCATENATE("")</f>
        <v/>
      </c>
      <c r="L115" s="7" t="str">
        <f>CONCATENATE("10 10.1 4a")</f>
        <v>10 10.1 4a</v>
      </c>
      <c r="M115" s="7" t="str">
        <f>CONCATENATE("CSTLRD72C03E783W")</f>
        <v>CSTLRD72C03E783W</v>
      </c>
      <c r="N115" s="7" t="s">
        <v>194</v>
      </c>
      <c r="O115" s="7"/>
      <c r="P115" s="8">
        <v>44522</v>
      </c>
      <c r="Q115" s="7" t="s">
        <v>31</v>
      </c>
      <c r="R115" s="7" t="s">
        <v>32</v>
      </c>
      <c r="S115" s="7" t="s">
        <v>33</v>
      </c>
      <c r="T115" s="7"/>
      <c r="U115" s="7" t="s">
        <v>34</v>
      </c>
      <c r="V115" s="7">
        <v>643.82000000000005</v>
      </c>
      <c r="W115" s="7">
        <v>277.62</v>
      </c>
      <c r="X115" s="7">
        <v>256.37</v>
      </c>
      <c r="Y115" s="7">
        <v>0</v>
      </c>
      <c r="Z115" s="7">
        <v>109.83</v>
      </c>
    </row>
    <row r="116" spans="1:26" x14ac:dyDescent="0.35">
      <c r="A116" s="7" t="s">
        <v>27</v>
      </c>
      <c r="B116" s="7" t="s">
        <v>28</v>
      </c>
      <c r="C116" s="7" t="s">
        <v>54</v>
      </c>
      <c r="D116" s="7" t="s">
        <v>139</v>
      </c>
      <c r="E116" s="7" t="s">
        <v>36</v>
      </c>
      <c r="F116" s="7" t="s">
        <v>48</v>
      </c>
      <c r="G116" s="7">
        <v>2021</v>
      </c>
      <c r="H116" s="7" t="str">
        <f>CONCATENATE("14240397019")</f>
        <v>14240397019</v>
      </c>
      <c r="I116" s="7" t="s">
        <v>29</v>
      </c>
      <c r="J116" s="7" t="s">
        <v>30</v>
      </c>
      <c r="K116" s="7" t="str">
        <f>CONCATENATE("")</f>
        <v/>
      </c>
      <c r="L116" s="7" t="str">
        <f>CONCATENATE("10 10.1 4a")</f>
        <v>10 10.1 4a</v>
      </c>
      <c r="M116" s="7" t="str">
        <f>CONCATENATE("SLTCRN44D41C704I")</f>
        <v>SLTCRN44D41C704I</v>
      </c>
      <c r="N116" s="7" t="s">
        <v>195</v>
      </c>
      <c r="O116" s="7"/>
      <c r="P116" s="8">
        <v>44522</v>
      </c>
      <c r="Q116" s="7" t="s">
        <v>31</v>
      </c>
      <c r="R116" s="7" t="s">
        <v>32</v>
      </c>
      <c r="S116" s="7" t="s">
        <v>33</v>
      </c>
      <c r="T116" s="7"/>
      <c r="U116" s="7" t="s">
        <v>34</v>
      </c>
      <c r="V116" s="7">
        <v>254.22</v>
      </c>
      <c r="W116" s="7">
        <v>109.62</v>
      </c>
      <c r="X116" s="7">
        <v>101.23</v>
      </c>
      <c r="Y116" s="7">
        <v>0</v>
      </c>
      <c r="Z116" s="7">
        <v>43.37</v>
      </c>
    </row>
    <row r="117" spans="1:26" x14ac:dyDescent="0.35">
      <c r="A117" s="7" t="s">
        <v>27</v>
      </c>
      <c r="B117" s="7" t="s">
        <v>28</v>
      </c>
      <c r="C117" s="7" t="s">
        <v>54</v>
      </c>
      <c r="D117" s="7" t="s">
        <v>55</v>
      </c>
      <c r="E117" s="7" t="s">
        <v>35</v>
      </c>
      <c r="F117" s="7" t="s">
        <v>47</v>
      </c>
      <c r="G117" s="7">
        <v>2021</v>
      </c>
      <c r="H117" s="7" t="str">
        <f>CONCATENATE("14240398371")</f>
        <v>14240398371</v>
      </c>
      <c r="I117" s="7" t="s">
        <v>29</v>
      </c>
      <c r="J117" s="7" t="s">
        <v>30</v>
      </c>
      <c r="K117" s="7" t="str">
        <f>CONCATENATE("")</f>
        <v/>
      </c>
      <c r="L117" s="7" t="str">
        <f>CONCATENATE("10 10.1 4a")</f>
        <v>10 10.1 4a</v>
      </c>
      <c r="M117" s="7" t="str">
        <f>CONCATENATE("01979160445")</f>
        <v>01979160445</v>
      </c>
      <c r="N117" s="7" t="s">
        <v>196</v>
      </c>
      <c r="O117" s="7"/>
      <c r="P117" s="8">
        <v>44522</v>
      </c>
      <c r="Q117" s="7" t="s">
        <v>31</v>
      </c>
      <c r="R117" s="7" t="s">
        <v>32</v>
      </c>
      <c r="S117" s="7" t="s">
        <v>33</v>
      </c>
      <c r="T117" s="7"/>
      <c r="U117" s="7" t="s">
        <v>34</v>
      </c>
      <c r="V117" s="7">
        <v>404.26</v>
      </c>
      <c r="W117" s="7">
        <v>174.32</v>
      </c>
      <c r="X117" s="7">
        <v>160.97999999999999</v>
      </c>
      <c r="Y117" s="7">
        <v>0</v>
      </c>
      <c r="Z117" s="7">
        <v>68.959999999999994</v>
      </c>
    </row>
    <row r="118" spans="1:26" x14ac:dyDescent="0.35">
      <c r="A118" s="7" t="s">
        <v>27</v>
      </c>
      <c r="B118" s="7" t="s">
        <v>28</v>
      </c>
      <c r="C118" s="7" t="s">
        <v>54</v>
      </c>
      <c r="D118" s="7" t="s">
        <v>55</v>
      </c>
      <c r="E118" s="7" t="s">
        <v>35</v>
      </c>
      <c r="F118" s="7" t="s">
        <v>47</v>
      </c>
      <c r="G118" s="7">
        <v>2021</v>
      </c>
      <c r="H118" s="7" t="str">
        <f>CONCATENATE("14240402793")</f>
        <v>14240402793</v>
      </c>
      <c r="I118" s="7" t="s">
        <v>29</v>
      </c>
      <c r="J118" s="7" t="s">
        <v>30</v>
      </c>
      <c r="K118" s="7" t="str">
        <f>CONCATENATE("")</f>
        <v/>
      </c>
      <c r="L118" s="7" t="str">
        <f>CONCATENATE("10 10.1 4a")</f>
        <v>10 10.1 4a</v>
      </c>
      <c r="M118" s="7" t="str">
        <f>CONCATENATE("02270700442")</f>
        <v>02270700442</v>
      </c>
      <c r="N118" s="7" t="s">
        <v>197</v>
      </c>
      <c r="O118" s="7"/>
      <c r="P118" s="8">
        <v>44522</v>
      </c>
      <c r="Q118" s="7" t="s">
        <v>31</v>
      </c>
      <c r="R118" s="7" t="s">
        <v>32</v>
      </c>
      <c r="S118" s="7" t="s">
        <v>33</v>
      </c>
      <c r="T118" s="7"/>
      <c r="U118" s="7" t="s">
        <v>34</v>
      </c>
      <c r="V118" s="7">
        <v>562.02</v>
      </c>
      <c r="W118" s="7">
        <v>242.34</v>
      </c>
      <c r="X118" s="7">
        <v>223.8</v>
      </c>
      <c r="Y118" s="7">
        <v>0</v>
      </c>
      <c r="Z118" s="7">
        <v>95.88</v>
      </c>
    </row>
    <row r="119" spans="1:26" x14ac:dyDescent="0.35">
      <c r="A119" s="7" t="s">
        <v>27</v>
      </c>
      <c r="B119" s="7" t="s">
        <v>28</v>
      </c>
      <c r="C119" s="7" t="s">
        <v>54</v>
      </c>
      <c r="D119" s="7" t="s">
        <v>139</v>
      </c>
      <c r="E119" s="7" t="s">
        <v>36</v>
      </c>
      <c r="F119" s="7" t="s">
        <v>198</v>
      </c>
      <c r="G119" s="7">
        <v>2021</v>
      </c>
      <c r="H119" s="7" t="str">
        <f>CONCATENATE("14240492158")</f>
        <v>14240492158</v>
      </c>
      <c r="I119" s="7" t="s">
        <v>29</v>
      </c>
      <c r="J119" s="7" t="s">
        <v>30</v>
      </c>
      <c r="K119" s="7" t="str">
        <f>CONCATENATE("")</f>
        <v/>
      </c>
      <c r="L119" s="7" t="str">
        <f>CONCATENATE("10 10.1 4a")</f>
        <v>10 10.1 4a</v>
      </c>
      <c r="M119" s="7" t="str">
        <f>CONCATENATE("CMBDNS60E41I156K")</f>
        <v>CMBDNS60E41I156K</v>
      </c>
      <c r="N119" s="7" t="s">
        <v>199</v>
      </c>
      <c r="O119" s="7"/>
      <c r="P119" s="8">
        <v>44522</v>
      </c>
      <c r="Q119" s="7" t="s">
        <v>31</v>
      </c>
      <c r="R119" s="7" t="s">
        <v>32</v>
      </c>
      <c r="S119" s="7" t="s">
        <v>33</v>
      </c>
      <c r="T119" s="7"/>
      <c r="U119" s="7" t="s">
        <v>34</v>
      </c>
      <c r="V119" s="7">
        <v>555.22</v>
      </c>
      <c r="W119" s="7">
        <v>239.41</v>
      </c>
      <c r="X119" s="7">
        <v>221.09</v>
      </c>
      <c r="Y119" s="7">
        <v>0</v>
      </c>
      <c r="Z119" s="7">
        <v>94.72</v>
      </c>
    </row>
    <row r="120" spans="1:26" x14ac:dyDescent="0.35">
      <c r="A120" s="7" t="s">
        <v>27</v>
      </c>
      <c r="B120" s="7" t="s">
        <v>28</v>
      </c>
      <c r="C120" s="7" t="s">
        <v>54</v>
      </c>
      <c r="D120" s="7" t="s">
        <v>139</v>
      </c>
      <c r="E120" s="7" t="s">
        <v>38</v>
      </c>
      <c r="F120" s="7" t="s">
        <v>46</v>
      </c>
      <c r="G120" s="7">
        <v>2021</v>
      </c>
      <c r="H120" s="7" t="str">
        <f>CONCATENATE("14240571662")</f>
        <v>14240571662</v>
      </c>
      <c r="I120" s="7" t="s">
        <v>29</v>
      </c>
      <c r="J120" s="7" t="s">
        <v>30</v>
      </c>
      <c r="K120" s="7" t="str">
        <f>CONCATENATE("")</f>
        <v/>
      </c>
      <c r="L120" s="7" t="str">
        <f>CONCATENATE("10 10.1 4a")</f>
        <v>10 10.1 4a</v>
      </c>
      <c r="M120" s="7" t="str">
        <f>CONCATENATE("01464870433")</f>
        <v>01464870433</v>
      </c>
      <c r="N120" s="7" t="s">
        <v>200</v>
      </c>
      <c r="O120" s="7"/>
      <c r="P120" s="8">
        <v>44522</v>
      </c>
      <c r="Q120" s="7" t="s">
        <v>31</v>
      </c>
      <c r="R120" s="7" t="s">
        <v>32</v>
      </c>
      <c r="S120" s="7" t="s">
        <v>33</v>
      </c>
      <c r="T120" s="7"/>
      <c r="U120" s="7" t="s">
        <v>34</v>
      </c>
      <c r="V120" s="9">
        <v>1296.83</v>
      </c>
      <c r="W120" s="7">
        <v>559.19000000000005</v>
      </c>
      <c r="X120" s="7">
        <v>516.4</v>
      </c>
      <c r="Y120" s="7">
        <v>0</v>
      </c>
      <c r="Z120" s="7">
        <v>221.24</v>
      </c>
    </row>
    <row r="121" spans="1:26" x14ac:dyDescent="0.35">
      <c r="A121" s="7" t="s">
        <v>27</v>
      </c>
      <c r="B121" s="7" t="s">
        <v>28</v>
      </c>
      <c r="C121" s="7" t="s">
        <v>54</v>
      </c>
      <c r="D121" s="7" t="s">
        <v>122</v>
      </c>
      <c r="E121" s="7" t="s">
        <v>37</v>
      </c>
      <c r="F121" s="7" t="s">
        <v>53</v>
      </c>
      <c r="G121" s="7">
        <v>2021</v>
      </c>
      <c r="H121" s="7" t="str">
        <f>CONCATENATE("14240658147")</f>
        <v>14240658147</v>
      </c>
      <c r="I121" s="7" t="s">
        <v>29</v>
      </c>
      <c r="J121" s="7" t="s">
        <v>30</v>
      </c>
      <c r="K121" s="7" t="str">
        <f>CONCATENATE("")</f>
        <v/>
      </c>
      <c r="L121" s="7" t="str">
        <f>CONCATENATE("10 10.1 4a")</f>
        <v>10 10.1 4a</v>
      </c>
      <c r="M121" s="7" t="str">
        <f>CONCATENATE("DLLLRT47A19D451M")</f>
        <v>DLLLRT47A19D451M</v>
      </c>
      <c r="N121" s="7" t="s">
        <v>201</v>
      </c>
      <c r="O121" s="7"/>
      <c r="P121" s="8">
        <v>44522</v>
      </c>
      <c r="Q121" s="7" t="s">
        <v>31</v>
      </c>
      <c r="R121" s="7" t="s">
        <v>32</v>
      </c>
      <c r="S121" s="7" t="s">
        <v>33</v>
      </c>
      <c r="T121" s="7"/>
      <c r="U121" s="7" t="s">
        <v>34</v>
      </c>
      <c r="V121" s="9">
        <v>5100</v>
      </c>
      <c r="W121" s="9">
        <v>2199.12</v>
      </c>
      <c r="X121" s="9">
        <v>2030.82</v>
      </c>
      <c r="Y121" s="7">
        <v>0</v>
      </c>
      <c r="Z121" s="7">
        <v>870.06</v>
      </c>
    </row>
    <row r="122" spans="1:26" x14ac:dyDescent="0.35">
      <c r="A122" s="7" t="s">
        <v>27</v>
      </c>
      <c r="B122" s="7" t="s">
        <v>28</v>
      </c>
      <c r="C122" s="7" t="s">
        <v>54</v>
      </c>
      <c r="D122" s="7" t="s">
        <v>122</v>
      </c>
      <c r="E122" s="7" t="s">
        <v>38</v>
      </c>
      <c r="F122" s="7" t="s">
        <v>202</v>
      </c>
      <c r="G122" s="7">
        <v>2021</v>
      </c>
      <c r="H122" s="7" t="str">
        <f>CONCATENATE("14240666330")</f>
        <v>14240666330</v>
      </c>
      <c r="I122" s="7" t="s">
        <v>29</v>
      </c>
      <c r="J122" s="7" t="s">
        <v>30</v>
      </c>
      <c r="K122" s="7" t="str">
        <f>CONCATENATE("")</f>
        <v/>
      </c>
      <c r="L122" s="7" t="str">
        <f>CONCATENATE("10 10.1 4a")</f>
        <v>10 10.1 4a</v>
      </c>
      <c r="M122" s="7" t="str">
        <f>CONCATENATE("DPPCST69H60E783M")</f>
        <v>DPPCST69H60E783M</v>
      </c>
      <c r="N122" s="7" t="s">
        <v>203</v>
      </c>
      <c r="O122" s="7"/>
      <c r="P122" s="8">
        <v>44522</v>
      </c>
      <c r="Q122" s="7" t="s">
        <v>31</v>
      </c>
      <c r="R122" s="7" t="s">
        <v>32</v>
      </c>
      <c r="S122" s="7" t="s">
        <v>33</v>
      </c>
      <c r="T122" s="7"/>
      <c r="U122" s="7" t="s">
        <v>34</v>
      </c>
      <c r="V122" s="7">
        <v>766.39</v>
      </c>
      <c r="W122" s="7">
        <v>330.47</v>
      </c>
      <c r="X122" s="7">
        <v>305.18</v>
      </c>
      <c r="Y122" s="7">
        <v>0</v>
      </c>
      <c r="Z122" s="7">
        <v>130.74</v>
      </c>
    </row>
    <row r="123" spans="1:26" x14ac:dyDescent="0.35">
      <c r="A123" s="7" t="s">
        <v>27</v>
      </c>
      <c r="B123" s="7" t="s">
        <v>28</v>
      </c>
      <c r="C123" s="7" t="s">
        <v>54</v>
      </c>
      <c r="D123" s="7" t="s">
        <v>55</v>
      </c>
      <c r="E123" s="7" t="s">
        <v>41</v>
      </c>
      <c r="F123" s="7" t="s">
        <v>204</v>
      </c>
      <c r="G123" s="7">
        <v>2021</v>
      </c>
      <c r="H123" s="7" t="str">
        <f>CONCATENATE("14240997982")</f>
        <v>14240997982</v>
      </c>
      <c r="I123" s="7" t="s">
        <v>29</v>
      </c>
      <c r="J123" s="7" t="s">
        <v>30</v>
      </c>
      <c r="K123" s="7" t="str">
        <f>CONCATENATE("")</f>
        <v/>
      </c>
      <c r="L123" s="7" t="str">
        <f>CONCATENATE("10 10.1 4a")</f>
        <v>10 10.1 4a</v>
      </c>
      <c r="M123" s="7" t="str">
        <f>CONCATENATE("GSPSDR73D46A462O")</f>
        <v>GSPSDR73D46A462O</v>
      </c>
      <c r="N123" s="7" t="s">
        <v>205</v>
      </c>
      <c r="O123" s="7"/>
      <c r="P123" s="8">
        <v>44522</v>
      </c>
      <c r="Q123" s="7" t="s">
        <v>31</v>
      </c>
      <c r="R123" s="7" t="s">
        <v>32</v>
      </c>
      <c r="S123" s="7" t="s">
        <v>33</v>
      </c>
      <c r="T123" s="7"/>
      <c r="U123" s="7" t="s">
        <v>34</v>
      </c>
      <c r="V123" s="9">
        <v>10965</v>
      </c>
      <c r="W123" s="9">
        <v>4728.1099999999997</v>
      </c>
      <c r="X123" s="9">
        <v>4366.26</v>
      </c>
      <c r="Y123" s="7">
        <v>0</v>
      </c>
      <c r="Z123" s="9">
        <v>1870.63</v>
      </c>
    </row>
    <row r="124" spans="1:26" x14ac:dyDescent="0.35">
      <c r="A124" s="7" t="s">
        <v>27</v>
      </c>
      <c r="B124" s="7" t="s">
        <v>28</v>
      </c>
      <c r="C124" s="7" t="s">
        <v>54</v>
      </c>
      <c r="D124" s="7" t="s">
        <v>122</v>
      </c>
      <c r="E124" s="7" t="s">
        <v>36</v>
      </c>
      <c r="F124" s="7" t="s">
        <v>148</v>
      </c>
      <c r="G124" s="7">
        <v>2021</v>
      </c>
      <c r="H124" s="7" t="str">
        <f>CONCATENATE("14240994724")</f>
        <v>14240994724</v>
      </c>
      <c r="I124" s="7" t="s">
        <v>29</v>
      </c>
      <c r="J124" s="7" t="s">
        <v>30</v>
      </c>
      <c r="K124" s="7" t="str">
        <f>CONCATENATE("")</f>
        <v/>
      </c>
      <c r="L124" s="7" t="str">
        <f>CONCATENATE("10 10.1 4a")</f>
        <v>10 10.1 4a</v>
      </c>
      <c r="M124" s="7" t="str">
        <f>CONCATENATE("TTTMRC68T07L781D")</f>
        <v>TTTMRC68T07L781D</v>
      </c>
      <c r="N124" s="7" t="s">
        <v>206</v>
      </c>
      <c r="O124" s="7"/>
      <c r="P124" s="8">
        <v>44522</v>
      </c>
      <c r="Q124" s="7" t="s">
        <v>31</v>
      </c>
      <c r="R124" s="7" t="s">
        <v>32</v>
      </c>
      <c r="S124" s="7" t="s">
        <v>33</v>
      </c>
      <c r="T124" s="7"/>
      <c r="U124" s="7" t="s">
        <v>34</v>
      </c>
      <c r="V124" s="7">
        <v>174.73</v>
      </c>
      <c r="W124" s="7">
        <v>75.34</v>
      </c>
      <c r="X124" s="7">
        <v>69.58</v>
      </c>
      <c r="Y124" s="7">
        <v>0</v>
      </c>
      <c r="Z124" s="7">
        <v>29.81</v>
      </c>
    </row>
    <row r="125" spans="1:26" ht="17.5" x14ac:dyDescent="0.35">
      <c r="A125" s="7" t="s">
        <v>27</v>
      </c>
      <c r="B125" s="7" t="s">
        <v>28</v>
      </c>
      <c r="C125" s="7" t="s">
        <v>54</v>
      </c>
      <c r="D125" s="7" t="s">
        <v>122</v>
      </c>
      <c r="E125" s="7" t="s">
        <v>38</v>
      </c>
      <c r="F125" s="7" t="s">
        <v>207</v>
      </c>
      <c r="G125" s="7">
        <v>2021</v>
      </c>
      <c r="H125" s="7" t="str">
        <f>CONCATENATE("14241045971")</f>
        <v>14241045971</v>
      </c>
      <c r="I125" s="7" t="s">
        <v>29</v>
      </c>
      <c r="J125" s="7" t="s">
        <v>30</v>
      </c>
      <c r="K125" s="7" t="str">
        <f>CONCATENATE("")</f>
        <v/>
      </c>
      <c r="L125" s="7" t="str">
        <f>CONCATENATE("10 10.1 4a")</f>
        <v>10 10.1 4a</v>
      </c>
      <c r="M125" s="7" t="str">
        <f>CONCATENATE("00928030428")</f>
        <v>00928030428</v>
      </c>
      <c r="N125" s="7" t="s">
        <v>208</v>
      </c>
      <c r="O125" s="7"/>
      <c r="P125" s="8">
        <v>44522</v>
      </c>
      <c r="Q125" s="7" t="s">
        <v>31</v>
      </c>
      <c r="R125" s="7" t="s">
        <v>32</v>
      </c>
      <c r="S125" s="7" t="s">
        <v>33</v>
      </c>
      <c r="T125" s="7"/>
      <c r="U125" s="7" t="s">
        <v>34</v>
      </c>
      <c r="V125" s="7">
        <v>258.5</v>
      </c>
      <c r="W125" s="7">
        <v>111.47</v>
      </c>
      <c r="X125" s="7">
        <v>102.93</v>
      </c>
      <c r="Y125" s="7">
        <v>0</v>
      </c>
      <c r="Z125" s="7">
        <v>44.1</v>
      </c>
    </row>
    <row r="126" spans="1:26" ht="17.5" x14ac:dyDescent="0.35">
      <c r="A126" s="7" t="s">
        <v>27</v>
      </c>
      <c r="B126" s="7" t="s">
        <v>28</v>
      </c>
      <c r="C126" s="7" t="s">
        <v>54</v>
      </c>
      <c r="D126" s="7" t="s">
        <v>122</v>
      </c>
      <c r="E126" s="7" t="s">
        <v>36</v>
      </c>
      <c r="F126" s="7" t="s">
        <v>148</v>
      </c>
      <c r="G126" s="7">
        <v>2021</v>
      </c>
      <c r="H126" s="7" t="str">
        <f>CONCATENATE("14241046987")</f>
        <v>14241046987</v>
      </c>
      <c r="I126" s="7" t="s">
        <v>29</v>
      </c>
      <c r="J126" s="7" t="s">
        <v>30</v>
      </c>
      <c r="K126" s="7" t="str">
        <f>CONCATENATE("")</f>
        <v/>
      </c>
      <c r="L126" s="7" t="str">
        <f>CONCATENATE("10 10.1 4a")</f>
        <v>10 10.1 4a</v>
      </c>
      <c r="M126" s="7" t="str">
        <f>CONCATENATE("02705020424")</f>
        <v>02705020424</v>
      </c>
      <c r="N126" s="7" t="s">
        <v>209</v>
      </c>
      <c r="O126" s="7"/>
      <c r="P126" s="8">
        <v>44522</v>
      </c>
      <c r="Q126" s="7" t="s">
        <v>31</v>
      </c>
      <c r="R126" s="7" t="s">
        <v>32</v>
      </c>
      <c r="S126" s="7" t="s">
        <v>33</v>
      </c>
      <c r="T126" s="7"/>
      <c r="U126" s="7" t="s">
        <v>34</v>
      </c>
      <c r="V126" s="7">
        <v>87.79</v>
      </c>
      <c r="W126" s="7">
        <v>37.86</v>
      </c>
      <c r="X126" s="7">
        <v>34.96</v>
      </c>
      <c r="Y126" s="7">
        <v>0</v>
      </c>
      <c r="Z126" s="7">
        <v>14.97</v>
      </c>
    </row>
    <row r="127" spans="1:26" x14ac:dyDescent="0.35">
      <c r="A127" s="7" t="s">
        <v>27</v>
      </c>
      <c r="B127" s="7" t="s">
        <v>28</v>
      </c>
      <c r="C127" s="7" t="s">
        <v>54</v>
      </c>
      <c r="D127" s="7" t="s">
        <v>122</v>
      </c>
      <c r="E127" s="7" t="s">
        <v>38</v>
      </c>
      <c r="F127" s="7" t="s">
        <v>123</v>
      </c>
      <c r="G127" s="7">
        <v>2021</v>
      </c>
      <c r="H127" s="7" t="str">
        <f>CONCATENATE("14241075911")</f>
        <v>14241075911</v>
      </c>
      <c r="I127" s="7" t="s">
        <v>29</v>
      </c>
      <c r="J127" s="7" t="s">
        <v>30</v>
      </c>
      <c r="K127" s="7" t="str">
        <f>CONCATENATE("")</f>
        <v/>
      </c>
      <c r="L127" s="7" t="str">
        <f>CONCATENATE("10 10.1 4a")</f>
        <v>10 10.1 4a</v>
      </c>
      <c r="M127" s="7" t="str">
        <f>CONCATENATE("CSTLGN53R09A366T")</f>
        <v>CSTLGN53R09A366T</v>
      </c>
      <c r="N127" s="7" t="s">
        <v>210</v>
      </c>
      <c r="O127" s="7"/>
      <c r="P127" s="8">
        <v>44522</v>
      </c>
      <c r="Q127" s="7" t="s">
        <v>31</v>
      </c>
      <c r="R127" s="7" t="s">
        <v>32</v>
      </c>
      <c r="S127" s="7" t="s">
        <v>33</v>
      </c>
      <c r="T127" s="7"/>
      <c r="U127" s="7" t="s">
        <v>34</v>
      </c>
      <c r="V127" s="7">
        <v>510</v>
      </c>
      <c r="W127" s="7">
        <v>219.91</v>
      </c>
      <c r="X127" s="7">
        <v>203.08</v>
      </c>
      <c r="Y127" s="7">
        <v>0</v>
      </c>
      <c r="Z127" s="7">
        <v>87.01</v>
      </c>
    </row>
    <row r="128" spans="1:26" x14ac:dyDescent="0.35">
      <c r="A128" s="7" t="s">
        <v>27</v>
      </c>
      <c r="B128" s="7" t="s">
        <v>28</v>
      </c>
      <c r="C128" s="7" t="s">
        <v>54</v>
      </c>
      <c r="D128" s="7" t="s">
        <v>139</v>
      </c>
      <c r="E128" s="7" t="s">
        <v>37</v>
      </c>
      <c r="F128" s="7" t="s">
        <v>45</v>
      </c>
      <c r="G128" s="7">
        <v>2021</v>
      </c>
      <c r="H128" s="7" t="str">
        <f>CONCATENATE("14241084236")</f>
        <v>14241084236</v>
      </c>
      <c r="I128" s="7" t="s">
        <v>29</v>
      </c>
      <c r="J128" s="7" t="s">
        <v>30</v>
      </c>
      <c r="K128" s="7" t="str">
        <f>CONCATENATE("")</f>
        <v/>
      </c>
      <c r="L128" s="7" t="str">
        <f>CONCATENATE("10 10.1 4a")</f>
        <v>10 10.1 4a</v>
      </c>
      <c r="M128" s="7" t="str">
        <f>CONCATENATE("01912770433")</f>
        <v>01912770433</v>
      </c>
      <c r="N128" s="7" t="s">
        <v>211</v>
      </c>
      <c r="O128" s="7"/>
      <c r="P128" s="8">
        <v>44522</v>
      </c>
      <c r="Q128" s="7" t="s">
        <v>31</v>
      </c>
      <c r="R128" s="7" t="s">
        <v>32</v>
      </c>
      <c r="S128" s="7" t="s">
        <v>33</v>
      </c>
      <c r="T128" s="7"/>
      <c r="U128" s="7" t="s">
        <v>34</v>
      </c>
      <c r="V128" s="9">
        <v>3701.06</v>
      </c>
      <c r="W128" s="9">
        <v>1595.9</v>
      </c>
      <c r="X128" s="9">
        <v>1473.76</v>
      </c>
      <c r="Y128" s="7">
        <v>0</v>
      </c>
      <c r="Z128" s="7">
        <v>631.4</v>
      </c>
    </row>
    <row r="129" spans="1:26" x14ac:dyDescent="0.35">
      <c r="A129" s="7" t="s">
        <v>27</v>
      </c>
      <c r="B129" s="7" t="s">
        <v>28</v>
      </c>
      <c r="C129" s="7" t="s">
        <v>54</v>
      </c>
      <c r="D129" s="7" t="s">
        <v>118</v>
      </c>
      <c r="E129" s="7" t="s">
        <v>36</v>
      </c>
      <c r="F129" s="7" t="s">
        <v>133</v>
      </c>
      <c r="G129" s="7">
        <v>2021</v>
      </c>
      <c r="H129" s="7" t="str">
        <f>CONCATENATE("14241291393")</f>
        <v>14241291393</v>
      </c>
      <c r="I129" s="7" t="s">
        <v>29</v>
      </c>
      <c r="J129" s="7" t="s">
        <v>30</v>
      </c>
      <c r="K129" s="7" t="str">
        <f>CONCATENATE("")</f>
        <v/>
      </c>
      <c r="L129" s="7" t="str">
        <f>CONCATENATE("10 10.1 4a")</f>
        <v>10 10.1 4a</v>
      </c>
      <c r="M129" s="7" t="str">
        <f>CONCATENATE("CLNLRA76P47L500X")</f>
        <v>CLNLRA76P47L500X</v>
      </c>
      <c r="N129" s="7" t="s">
        <v>212</v>
      </c>
      <c r="O129" s="7"/>
      <c r="P129" s="8">
        <v>44522</v>
      </c>
      <c r="Q129" s="7" t="s">
        <v>31</v>
      </c>
      <c r="R129" s="7" t="s">
        <v>32</v>
      </c>
      <c r="S129" s="7" t="s">
        <v>33</v>
      </c>
      <c r="T129" s="7"/>
      <c r="U129" s="7" t="s">
        <v>34</v>
      </c>
      <c r="V129" s="9">
        <v>1530</v>
      </c>
      <c r="W129" s="7">
        <v>659.74</v>
      </c>
      <c r="X129" s="7">
        <v>609.25</v>
      </c>
      <c r="Y129" s="7">
        <v>0</v>
      </c>
      <c r="Z129" s="7">
        <v>261.01</v>
      </c>
    </row>
    <row r="130" spans="1:26" x14ac:dyDescent="0.35">
      <c r="A130" s="7" t="s">
        <v>27</v>
      </c>
      <c r="B130" s="7" t="s">
        <v>28</v>
      </c>
      <c r="C130" s="7" t="s">
        <v>54</v>
      </c>
      <c r="D130" s="7" t="s">
        <v>122</v>
      </c>
      <c r="E130" s="7" t="s">
        <v>35</v>
      </c>
      <c r="F130" s="7" t="s">
        <v>49</v>
      </c>
      <c r="G130" s="7">
        <v>2021</v>
      </c>
      <c r="H130" s="7" t="str">
        <f>CONCATENATE("14241397216")</f>
        <v>14241397216</v>
      </c>
      <c r="I130" s="7" t="s">
        <v>29</v>
      </c>
      <c r="J130" s="7" t="s">
        <v>30</v>
      </c>
      <c r="K130" s="7" t="str">
        <f>CONCATENATE("")</f>
        <v/>
      </c>
      <c r="L130" s="7" t="str">
        <f>CONCATENATE("10 10.1 4a")</f>
        <v>10 10.1 4a</v>
      </c>
      <c r="M130" s="7" t="str">
        <f>CONCATENATE("01964550436")</f>
        <v>01964550436</v>
      </c>
      <c r="N130" s="7" t="s">
        <v>213</v>
      </c>
      <c r="O130" s="7"/>
      <c r="P130" s="8">
        <v>44522</v>
      </c>
      <c r="Q130" s="7" t="s">
        <v>31</v>
      </c>
      <c r="R130" s="7" t="s">
        <v>32</v>
      </c>
      <c r="S130" s="7" t="s">
        <v>33</v>
      </c>
      <c r="T130" s="7"/>
      <c r="U130" s="7" t="s">
        <v>34</v>
      </c>
      <c r="V130" s="7">
        <v>328.49</v>
      </c>
      <c r="W130" s="7">
        <v>141.63999999999999</v>
      </c>
      <c r="X130" s="7">
        <v>130.80000000000001</v>
      </c>
      <c r="Y130" s="7">
        <v>0</v>
      </c>
      <c r="Z130" s="7">
        <v>56.05</v>
      </c>
    </row>
    <row r="131" spans="1:26" x14ac:dyDescent="0.35">
      <c r="A131" s="7" t="s">
        <v>27</v>
      </c>
      <c r="B131" s="7" t="s">
        <v>28</v>
      </c>
      <c r="C131" s="7" t="s">
        <v>54</v>
      </c>
      <c r="D131" s="7" t="s">
        <v>118</v>
      </c>
      <c r="E131" s="7" t="s">
        <v>38</v>
      </c>
      <c r="F131" s="7" t="s">
        <v>214</v>
      </c>
      <c r="G131" s="7">
        <v>2021</v>
      </c>
      <c r="H131" s="7" t="str">
        <f>CONCATENATE("14241397810")</f>
        <v>14241397810</v>
      </c>
      <c r="I131" s="7" t="s">
        <v>29</v>
      </c>
      <c r="J131" s="7" t="s">
        <v>30</v>
      </c>
      <c r="K131" s="7" t="str">
        <f>CONCATENATE("")</f>
        <v/>
      </c>
      <c r="L131" s="7" t="str">
        <f>CONCATENATE("10 10.1 4a")</f>
        <v>10 10.1 4a</v>
      </c>
      <c r="M131" s="7" t="str">
        <f>CONCATENATE("FCCMHL87H22D451X")</f>
        <v>FCCMHL87H22D451X</v>
      </c>
      <c r="N131" s="7" t="s">
        <v>215</v>
      </c>
      <c r="O131" s="7"/>
      <c r="P131" s="8">
        <v>44522</v>
      </c>
      <c r="Q131" s="7" t="s">
        <v>31</v>
      </c>
      <c r="R131" s="7" t="s">
        <v>32</v>
      </c>
      <c r="S131" s="7" t="s">
        <v>33</v>
      </c>
      <c r="T131" s="7"/>
      <c r="U131" s="7" t="s">
        <v>34</v>
      </c>
      <c r="V131" s="7">
        <v>170</v>
      </c>
      <c r="W131" s="7">
        <v>73.3</v>
      </c>
      <c r="X131" s="7">
        <v>67.69</v>
      </c>
      <c r="Y131" s="7">
        <v>0</v>
      </c>
      <c r="Z131" s="7">
        <v>29.01</v>
      </c>
    </row>
    <row r="132" spans="1:26" x14ac:dyDescent="0.35">
      <c r="A132" s="7" t="s">
        <v>27</v>
      </c>
      <c r="B132" s="7" t="s">
        <v>28</v>
      </c>
      <c r="C132" s="7" t="s">
        <v>54</v>
      </c>
      <c r="D132" s="7" t="s">
        <v>139</v>
      </c>
      <c r="E132" s="7" t="s">
        <v>37</v>
      </c>
      <c r="F132" s="7" t="s">
        <v>45</v>
      </c>
      <c r="G132" s="7">
        <v>2021</v>
      </c>
      <c r="H132" s="7" t="str">
        <f>CONCATENATE("14240317272")</f>
        <v>14240317272</v>
      </c>
      <c r="I132" s="7" t="s">
        <v>29</v>
      </c>
      <c r="J132" s="7" t="s">
        <v>30</v>
      </c>
      <c r="K132" s="7" t="str">
        <f>CONCATENATE("")</f>
        <v/>
      </c>
      <c r="L132" s="7" t="str">
        <f>CONCATENATE("10 10.1 4a")</f>
        <v>10 10.1 4a</v>
      </c>
      <c r="M132" s="7" t="str">
        <f>CONCATENATE("DNGPLA74L02I156I")</f>
        <v>DNGPLA74L02I156I</v>
      </c>
      <c r="N132" s="7" t="s">
        <v>51</v>
      </c>
      <c r="O132" s="7"/>
      <c r="P132" s="8">
        <v>44522</v>
      </c>
      <c r="Q132" s="7" t="s">
        <v>31</v>
      </c>
      <c r="R132" s="7" t="s">
        <v>32</v>
      </c>
      <c r="S132" s="7" t="s">
        <v>33</v>
      </c>
      <c r="T132" s="7"/>
      <c r="U132" s="7" t="s">
        <v>34</v>
      </c>
      <c r="V132" s="7">
        <v>774.86</v>
      </c>
      <c r="W132" s="7">
        <v>334.12</v>
      </c>
      <c r="X132" s="7">
        <v>308.55</v>
      </c>
      <c r="Y132" s="7">
        <v>0</v>
      </c>
      <c r="Z132" s="7">
        <v>132.19</v>
      </c>
    </row>
    <row r="133" spans="1:26" x14ac:dyDescent="0.35">
      <c r="A133" s="7" t="s">
        <v>27</v>
      </c>
      <c r="B133" s="7" t="s">
        <v>28</v>
      </c>
      <c r="C133" s="7" t="s">
        <v>54</v>
      </c>
      <c r="D133" s="7" t="s">
        <v>139</v>
      </c>
      <c r="E133" s="7" t="s">
        <v>35</v>
      </c>
      <c r="F133" s="7" t="s">
        <v>158</v>
      </c>
      <c r="G133" s="7">
        <v>2021</v>
      </c>
      <c r="H133" s="7" t="str">
        <f>CONCATENATE("14240446899")</f>
        <v>14240446899</v>
      </c>
      <c r="I133" s="7" t="s">
        <v>29</v>
      </c>
      <c r="J133" s="7" t="s">
        <v>30</v>
      </c>
      <c r="K133" s="7" t="str">
        <f>CONCATENATE("")</f>
        <v/>
      </c>
      <c r="L133" s="7" t="str">
        <f>CONCATENATE("10 10.1 4a")</f>
        <v>10 10.1 4a</v>
      </c>
      <c r="M133" s="7" t="str">
        <f>CONCATENATE("CRSLSN62E70H501U")</f>
        <v>CRSLSN62E70H501U</v>
      </c>
      <c r="N133" s="7" t="s">
        <v>216</v>
      </c>
      <c r="O133" s="7"/>
      <c r="P133" s="8">
        <v>44522</v>
      </c>
      <c r="Q133" s="7" t="s">
        <v>31</v>
      </c>
      <c r="R133" s="7" t="s">
        <v>32</v>
      </c>
      <c r="S133" s="7" t="s">
        <v>33</v>
      </c>
      <c r="T133" s="7"/>
      <c r="U133" s="7" t="s">
        <v>34</v>
      </c>
      <c r="V133" s="7">
        <v>209.47</v>
      </c>
      <c r="W133" s="7">
        <v>90.32</v>
      </c>
      <c r="X133" s="7">
        <v>83.41</v>
      </c>
      <c r="Y133" s="7">
        <v>0</v>
      </c>
      <c r="Z133" s="7">
        <v>35.74</v>
      </c>
    </row>
    <row r="134" spans="1:26" ht="17.5" x14ac:dyDescent="0.35">
      <c r="A134" s="7" t="s">
        <v>27</v>
      </c>
      <c r="B134" s="7" t="s">
        <v>28</v>
      </c>
      <c r="C134" s="7" t="s">
        <v>54</v>
      </c>
      <c r="D134" s="7" t="s">
        <v>139</v>
      </c>
      <c r="E134" s="7" t="s">
        <v>36</v>
      </c>
      <c r="F134" s="7" t="s">
        <v>217</v>
      </c>
      <c r="G134" s="7">
        <v>2021</v>
      </c>
      <c r="H134" s="7" t="str">
        <f>CONCATENATE("14240440405")</f>
        <v>14240440405</v>
      </c>
      <c r="I134" s="7" t="s">
        <v>29</v>
      </c>
      <c r="J134" s="7" t="s">
        <v>30</v>
      </c>
      <c r="K134" s="7" t="str">
        <f>CONCATENATE("")</f>
        <v/>
      </c>
      <c r="L134" s="7" t="str">
        <f>CONCATENATE("10 10.1 4a")</f>
        <v>10 10.1 4a</v>
      </c>
      <c r="M134" s="7" t="str">
        <f>CONCATENATE("00150060432")</f>
        <v>00150060432</v>
      </c>
      <c r="N134" s="7" t="s">
        <v>218</v>
      </c>
      <c r="O134" s="7"/>
      <c r="P134" s="8">
        <v>44522</v>
      </c>
      <c r="Q134" s="7" t="s">
        <v>31</v>
      </c>
      <c r="R134" s="7" t="s">
        <v>32</v>
      </c>
      <c r="S134" s="7" t="s">
        <v>33</v>
      </c>
      <c r="T134" s="7"/>
      <c r="U134" s="7" t="s">
        <v>34</v>
      </c>
      <c r="V134" s="7">
        <v>483.99</v>
      </c>
      <c r="W134" s="7">
        <v>208.7</v>
      </c>
      <c r="X134" s="7">
        <v>192.72</v>
      </c>
      <c r="Y134" s="7">
        <v>0</v>
      </c>
      <c r="Z134" s="7">
        <v>82.57</v>
      </c>
    </row>
    <row r="135" spans="1:26" x14ac:dyDescent="0.35">
      <c r="A135" s="7" t="s">
        <v>27</v>
      </c>
      <c r="B135" s="7" t="s">
        <v>28</v>
      </c>
      <c r="C135" s="7" t="s">
        <v>54</v>
      </c>
      <c r="D135" s="7" t="s">
        <v>118</v>
      </c>
      <c r="E135" s="7" t="s">
        <v>38</v>
      </c>
      <c r="F135" s="7" t="s">
        <v>144</v>
      </c>
      <c r="G135" s="7">
        <v>2021</v>
      </c>
      <c r="H135" s="7" t="str">
        <f>CONCATENATE("14240520909")</f>
        <v>14240520909</v>
      </c>
      <c r="I135" s="7" t="s">
        <v>29</v>
      </c>
      <c r="J135" s="7" t="s">
        <v>30</v>
      </c>
      <c r="K135" s="7" t="str">
        <f>CONCATENATE("")</f>
        <v/>
      </c>
      <c r="L135" s="7" t="str">
        <f>CONCATENATE("10 10.1 4a")</f>
        <v>10 10.1 4a</v>
      </c>
      <c r="M135" s="7" t="str">
        <f>CONCATENATE("CMBMRT77M60B352T")</f>
        <v>CMBMRT77M60B352T</v>
      </c>
      <c r="N135" s="7" t="s">
        <v>219</v>
      </c>
      <c r="O135" s="7"/>
      <c r="P135" s="8">
        <v>44522</v>
      </c>
      <c r="Q135" s="7" t="s">
        <v>31</v>
      </c>
      <c r="R135" s="7" t="s">
        <v>32</v>
      </c>
      <c r="S135" s="7" t="s">
        <v>33</v>
      </c>
      <c r="T135" s="7"/>
      <c r="U135" s="7" t="s">
        <v>34</v>
      </c>
      <c r="V135" s="9">
        <v>3060</v>
      </c>
      <c r="W135" s="9">
        <v>1319.47</v>
      </c>
      <c r="X135" s="9">
        <v>1218.49</v>
      </c>
      <c r="Y135" s="7">
        <v>0</v>
      </c>
      <c r="Z135" s="7">
        <v>522.04</v>
      </c>
    </row>
    <row r="136" spans="1:26" x14ac:dyDescent="0.35">
      <c r="A136" s="7" t="s">
        <v>27</v>
      </c>
      <c r="B136" s="7" t="s">
        <v>28</v>
      </c>
      <c r="C136" s="7" t="s">
        <v>54</v>
      </c>
      <c r="D136" s="7" t="s">
        <v>122</v>
      </c>
      <c r="E136" s="7" t="s">
        <v>36</v>
      </c>
      <c r="F136" s="7" t="s">
        <v>220</v>
      </c>
      <c r="G136" s="7">
        <v>2021</v>
      </c>
      <c r="H136" s="7" t="str">
        <f>CONCATENATE("14240547571")</f>
        <v>14240547571</v>
      </c>
      <c r="I136" s="7" t="s">
        <v>29</v>
      </c>
      <c r="J136" s="7" t="s">
        <v>30</v>
      </c>
      <c r="K136" s="7" t="str">
        <f>CONCATENATE("")</f>
        <v/>
      </c>
      <c r="L136" s="7" t="str">
        <f>CONCATENATE("10 10.1 4a")</f>
        <v>10 10.1 4a</v>
      </c>
      <c r="M136" s="7" t="str">
        <f>CONCATENATE("MRNPLA75P30H211M")</f>
        <v>MRNPLA75P30H211M</v>
      </c>
      <c r="N136" s="7" t="s">
        <v>221</v>
      </c>
      <c r="O136" s="7"/>
      <c r="P136" s="8">
        <v>44522</v>
      </c>
      <c r="Q136" s="7" t="s">
        <v>31</v>
      </c>
      <c r="R136" s="7" t="s">
        <v>32</v>
      </c>
      <c r="S136" s="7" t="s">
        <v>33</v>
      </c>
      <c r="T136" s="7"/>
      <c r="U136" s="7" t="s">
        <v>34</v>
      </c>
      <c r="V136" s="7">
        <v>873.89</v>
      </c>
      <c r="W136" s="7">
        <v>376.82</v>
      </c>
      <c r="X136" s="7">
        <v>347.98</v>
      </c>
      <c r="Y136" s="7">
        <v>0</v>
      </c>
      <c r="Z136" s="7">
        <v>149.09</v>
      </c>
    </row>
    <row r="137" spans="1:26" x14ac:dyDescent="0.35">
      <c r="A137" s="7" t="s">
        <v>27</v>
      </c>
      <c r="B137" s="7" t="s">
        <v>28</v>
      </c>
      <c r="C137" s="7" t="s">
        <v>54</v>
      </c>
      <c r="D137" s="7" t="s">
        <v>122</v>
      </c>
      <c r="E137" s="7" t="s">
        <v>36</v>
      </c>
      <c r="F137" s="7" t="s">
        <v>222</v>
      </c>
      <c r="G137" s="7">
        <v>2021</v>
      </c>
      <c r="H137" s="7" t="str">
        <f>CONCATENATE("14240740259")</f>
        <v>14240740259</v>
      </c>
      <c r="I137" s="7" t="s">
        <v>29</v>
      </c>
      <c r="J137" s="7" t="s">
        <v>30</v>
      </c>
      <c r="K137" s="7" t="str">
        <f>CONCATENATE("")</f>
        <v/>
      </c>
      <c r="L137" s="7" t="str">
        <f>CONCATENATE("10 10.1 4a")</f>
        <v>10 10.1 4a</v>
      </c>
      <c r="M137" s="7" t="str">
        <f>CONCATENATE("BCRGCR48M24A366I")</f>
        <v>BCRGCR48M24A366I</v>
      </c>
      <c r="N137" s="7" t="s">
        <v>223</v>
      </c>
      <c r="O137" s="7"/>
      <c r="P137" s="8">
        <v>44522</v>
      </c>
      <c r="Q137" s="7" t="s">
        <v>31</v>
      </c>
      <c r="R137" s="7" t="s">
        <v>32</v>
      </c>
      <c r="S137" s="7" t="s">
        <v>33</v>
      </c>
      <c r="T137" s="7"/>
      <c r="U137" s="7" t="s">
        <v>34</v>
      </c>
      <c r="V137" s="9">
        <v>3825</v>
      </c>
      <c r="W137" s="9">
        <v>1649.34</v>
      </c>
      <c r="X137" s="9">
        <v>1523.12</v>
      </c>
      <c r="Y137" s="7">
        <v>0</v>
      </c>
      <c r="Z137" s="7">
        <v>652.54</v>
      </c>
    </row>
    <row r="138" spans="1:26" x14ac:dyDescent="0.35">
      <c r="A138" s="7" t="s">
        <v>27</v>
      </c>
      <c r="B138" s="7" t="s">
        <v>28</v>
      </c>
      <c r="C138" s="7" t="s">
        <v>54</v>
      </c>
      <c r="D138" s="7" t="s">
        <v>122</v>
      </c>
      <c r="E138" s="7" t="s">
        <v>38</v>
      </c>
      <c r="F138" s="7" t="s">
        <v>135</v>
      </c>
      <c r="G138" s="7">
        <v>2021</v>
      </c>
      <c r="H138" s="7" t="str">
        <f>CONCATENATE("14240749557")</f>
        <v>14240749557</v>
      </c>
      <c r="I138" s="7" t="s">
        <v>29</v>
      </c>
      <c r="J138" s="7" t="s">
        <v>30</v>
      </c>
      <c r="K138" s="7" t="str">
        <f>CONCATENATE("")</f>
        <v/>
      </c>
      <c r="L138" s="7" t="str">
        <f>CONCATENATE("10 10.1 4a")</f>
        <v>10 10.1 4a</v>
      </c>
      <c r="M138" s="7" t="str">
        <f>CONCATENATE("BRNLSS84L07A271E")</f>
        <v>BRNLSS84L07A271E</v>
      </c>
      <c r="N138" s="7" t="s">
        <v>224</v>
      </c>
      <c r="O138" s="7"/>
      <c r="P138" s="8">
        <v>44522</v>
      </c>
      <c r="Q138" s="7" t="s">
        <v>31</v>
      </c>
      <c r="R138" s="7" t="s">
        <v>32</v>
      </c>
      <c r="S138" s="7" t="s">
        <v>33</v>
      </c>
      <c r="T138" s="7"/>
      <c r="U138" s="7" t="s">
        <v>34</v>
      </c>
      <c r="V138" s="7">
        <v>884.31</v>
      </c>
      <c r="W138" s="7">
        <v>381.31</v>
      </c>
      <c r="X138" s="7">
        <v>352.13</v>
      </c>
      <c r="Y138" s="7">
        <v>0</v>
      </c>
      <c r="Z138" s="7">
        <v>150.87</v>
      </c>
    </row>
    <row r="139" spans="1:26" x14ac:dyDescent="0.35">
      <c r="A139" s="7" t="s">
        <v>27</v>
      </c>
      <c r="B139" s="7" t="s">
        <v>28</v>
      </c>
      <c r="C139" s="7" t="s">
        <v>54</v>
      </c>
      <c r="D139" s="7" t="s">
        <v>139</v>
      </c>
      <c r="E139" s="7" t="s">
        <v>35</v>
      </c>
      <c r="F139" s="7" t="s">
        <v>158</v>
      </c>
      <c r="G139" s="7">
        <v>2021</v>
      </c>
      <c r="H139" s="7" t="str">
        <f>CONCATENATE("14240782137")</f>
        <v>14240782137</v>
      </c>
      <c r="I139" s="7" t="s">
        <v>29</v>
      </c>
      <c r="J139" s="7" t="s">
        <v>30</v>
      </c>
      <c r="K139" s="7" t="str">
        <f>CONCATENATE("")</f>
        <v/>
      </c>
      <c r="L139" s="7" t="str">
        <f>CONCATENATE("10 10.1 4a")</f>
        <v>10 10.1 4a</v>
      </c>
      <c r="M139" s="7" t="str">
        <f>CONCATENATE("JRGSRH79E64H501A")</f>
        <v>JRGSRH79E64H501A</v>
      </c>
      <c r="N139" s="7" t="s">
        <v>225</v>
      </c>
      <c r="O139" s="7"/>
      <c r="P139" s="8">
        <v>44522</v>
      </c>
      <c r="Q139" s="7" t="s">
        <v>31</v>
      </c>
      <c r="R139" s="7" t="s">
        <v>32</v>
      </c>
      <c r="S139" s="7" t="s">
        <v>33</v>
      </c>
      <c r="T139" s="7"/>
      <c r="U139" s="7" t="s">
        <v>34</v>
      </c>
      <c r="V139" s="7">
        <v>484.5</v>
      </c>
      <c r="W139" s="7">
        <v>208.92</v>
      </c>
      <c r="X139" s="7">
        <v>192.93</v>
      </c>
      <c r="Y139" s="7">
        <v>0</v>
      </c>
      <c r="Z139" s="7">
        <v>82.65</v>
      </c>
    </row>
    <row r="140" spans="1:26" x14ac:dyDescent="0.35">
      <c r="A140" s="7" t="s">
        <v>27</v>
      </c>
      <c r="B140" s="7" t="s">
        <v>28</v>
      </c>
      <c r="C140" s="7" t="s">
        <v>54</v>
      </c>
      <c r="D140" s="7" t="s">
        <v>118</v>
      </c>
      <c r="E140" s="7" t="s">
        <v>36</v>
      </c>
      <c r="F140" s="7" t="s">
        <v>133</v>
      </c>
      <c r="G140" s="7">
        <v>2021</v>
      </c>
      <c r="H140" s="7" t="str">
        <f>CONCATENATE("14240782020")</f>
        <v>14240782020</v>
      </c>
      <c r="I140" s="7" t="s">
        <v>29</v>
      </c>
      <c r="J140" s="7" t="s">
        <v>30</v>
      </c>
      <c r="K140" s="7" t="str">
        <f>CONCATENATE("")</f>
        <v/>
      </c>
      <c r="L140" s="7" t="str">
        <f>CONCATENATE("10 10.1 4a")</f>
        <v>10 10.1 4a</v>
      </c>
      <c r="M140" s="7" t="str">
        <f>CONCATENATE("PZZRCR69C01Z120R")</f>
        <v>PZZRCR69C01Z120R</v>
      </c>
      <c r="N140" s="7" t="s">
        <v>226</v>
      </c>
      <c r="O140" s="7"/>
      <c r="P140" s="8">
        <v>44522</v>
      </c>
      <c r="Q140" s="7" t="s">
        <v>31</v>
      </c>
      <c r="R140" s="7" t="s">
        <v>32</v>
      </c>
      <c r="S140" s="7" t="s">
        <v>33</v>
      </c>
      <c r="T140" s="7"/>
      <c r="U140" s="7" t="s">
        <v>34</v>
      </c>
      <c r="V140" s="9">
        <v>1700</v>
      </c>
      <c r="W140" s="7">
        <v>733.04</v>
      </c>
      <c r="X140" s="7">
        <v>676.94</v>
      </c>
      <c r="Y140" s="7">
        <v>0</v>
      </c>
      <c r="Z140" s="7">
        <v>290.02</v>
      </c>
    </row>
    <row r="141" spans="1:26" x14ac:dyDescent="0.35">
      <c r="A141" s="7" t="s">
        <v>27</v>
      </c>
      <c r="B141" s="7" t="s">
        <v>28</v>
      </c>
      <c r="C141" s="7" t="s">
        <v>54</v>
      </c>
      <c r="D141" s="7" t="s">
        <v>122</v>
      </c>
      <c r="E141" s="7" t="s">
        <v>38</v>
      </c>
      <c r="F141" s="7" t="s">
        <v>135</v>
      </c>
      <c r="G141" s="7">
        <v>2021</v>
      </c>
      <c r="H141" s="7" t="str">
        <f>CONCATENATE("14240791310")</f>
        <v>14240791310</v>
      </c>
      <c r="I141" s="7" t="s">
        <v>29</v>
      </c>
      <c r="J141" s="7" t="s">
        <v>30</v>
      </c>
      <c r="K141" s="7" t="str">
        <f>CONCATENATE("")</f>
        <v/>
      </c>
      <c r="L141" s="7" t="str">
        <f>CONCATENATE("10 10.1 4a")</f>
        <v>10 10.1 4a</v>
      </c>
      <c r="M141" s="7" t="str">
        <f>CONCATENATE("ZCCRLL63A48E388M")</f>
        <v>ZCCRLL63A48E388M</v>
      </c>
      <c r="N141" s="7" t="s">
        <v>227</v>
      </c>
      <c r="O141" s="7"/>
      <c r="P141" s="8">
        <v>44522</v>
      </c>
      <c r="Q141" s="7" t="s">
        <v>31</v>
      </c>
      <c r="R141" s="7" t="s">
        <v>32</v>
      </c>
      <c r="S141" s="7" t="s">
        <v>33</v>
      </c>
      <c r="T141" s="7"/>
      <c r="U141" s="7" t="s">
        <v>34</v>
      </c>
      <c r="V141" s="9">
        <v>2672.06</v>
      </c>
      <c r="W141" s="9">
        <v>1152.19</v>
      </c>
      <c r="X141" s="9">
        <v>1064.01</v>
      </c>
      <c r="Y141" s="7">
        <v>0</v>
      </c>
      <c r="Z141" s="7">
        <v>455.86</v>
      </c>
    </row>
    <row r="142" spans="1:26" x14ac:dyDescent="0.35">
      <c r="A142" s="7" t="s">
        <v>27</v>
      </c>
      <c r="B142" s="7" t="s">
        <v>28</v>
      </c>
      <c r="C142" s="7" t="s">
        <v>54</v>
      </c>
      <c r="D142" s="7" t="s">
        <v>122</v>
      </c>
      <c r="E142" s="7" t="s">
        <v>35</v>
      </c>
      <c r="F142" s="7" t="s">
        <v>49</v>
      </c>
      <c r="G142" s="7">
        <v>2021</v>
      </c>
      <c r="H142" s="7" t="str">
        <f>CONCATENATE("14240851825")</f>
        <v>14240851825</v>
      </c>
      <c r="I142" s="7" t="s">
        <v>29</v>
      </c>
      <c r="J142" s="7" t="s">
        <v>30</v>
      </c>
      <c r="K142" s="7" t="str">
        <f>CONCATENATE("")</f>
        <v/>
      </c>
      <c r="L142" s="7" t="str">
        <f>CONCATENATE("10 10.1 4a")</f>
        <v>10 10.1 4a</v>
      </c>
      <c r="M142" s="7" t="str">
        <f>CONCATENATE("GBRLNZ93C07D451N")</f>
        <v>GBRLNZ93C07D451N</v>
      </c>
      <c r="N142" s="7" t="s">
        <v>228</v>
      </c>
      <c r="O142" s="7"/>
      <c r="P142" s="8">
        <v>44522</v>
      </c>
      <c r="Q142" s="7" t="s">
        <v>31</v>
      </c>
      <c r="R142" s="7" t="s">
        <v>32</v>
      </c>
      <c r="S142" s="7" t="s">
        <v>33</v>
      </c>
      <c r="T142" s="7"/>
      <c r="U142" s="7" t="s">
        <v>34</v>
      </c>
      <c r="V142" s="7">
        <v>983.64</v>
      </c>
      <c r="W142" s="7">
        <v>424.15</v>
      </c>
      <c r="X142" s="7">
        <v>391.69</v>
      </c>
      <c r="Y142" s="7">
        <v>0</v>
      </c>
      <c r="Z142" s="7">
        <v>167.8</v>
      </c>
    </row>
    <row r="143" spans="1:26" x14ac:dyDescent="0.35">
      <c r="A143" s="7" t="s">
        <v>27</v>
      </c>
      <c r="B143" s="7" t="s">
        <v>28</v>
      </c>
      <c r="C143" s="7" t="s">
        <v>54</v>
      </c>
      <c r="D143" s="7" t="s">
        <v>118</v>
      </c>
      <c r="E143" s="7" t="s">
        <v>36</v>
      </c>
      <c r="F143" s="7" t="s">
        <v>133</v>
      </c>
      <c r="G143" s="7">
        <v>2021</v>
      </c>
      <c r="H143" s="7" t="str">
        <f>CONCATENATE("14240842964")</f>
        <v>14240842964</v>
      </c>
      <c r="I143" s="7" t="s">
        <v>29</v>
      </c>
      <c r="J143" s="7" t="s">
        <v>30</v>
      </c>
      <c r="K143" s="7" t="str">
        <f>CONCATENATE("")</f>
        <v/>
      </c>
      <c r="L143" s="7" t="str">
        <f>CONCATENATE("10 10.1 4a")</f>
        <v>10 10.1 4a</v>
      </c>
      <c r="M143" s="7" t="str">
        <f>CONCATENATE("TRVRRT68E23B636E")</f>
        <v>TRVRRT68E23B636E</v>
      </c>
      <c r="N143" s="7" t="s">
        <v>229</v>
      </c>
      <c r="O143" s="7"/>
      <c r="P143" s="8">
        <v>44522</v>
      </c>
      <c r="Q143" s="7" t="s">
        <v>31</v>
      </c>
      <c r="R143" s="7" t="s">
        <v>32</v>
      </c>
      <c r="S143" s="7" t="s">
        <v>33</v>
      </c>
      <c r="T143" s="7"/>
      <c r="U143" s="7" t="s">
        <v>34</v>
      </c>
      <c r="V143" s="9">
        <v>1700</v>
      </c>
      <c r="W143" s="7">
        <v>733.04</v>
      </c>
      <c r="X143" s="7">
        <v>676.94</v>
      </c>
      <c r="Y143" s="7">
        <v>0</v>
      </c>
      <c r="Z143" s="7">
        <v>290.02</v>
      </c>
    </row>
    <row r="144" spans="1:26" ht="17.5" x14ac:dyDescent="0.35">
      <c r="A144" s="7" t="s">
        <v>27</v>
      </c>
      <c r="B144" s="7" t="s">
        <v>28</v>
      </c>
      <c r="C144" s="7" t="s">
        <v>54</v>
      </c>
      <c r="D144" s="7" t="s">
        <v>122</v>
      </c>
      <c r="E144" s="7" t="s">
        <v>38</v>
      </c>
      <c r="F144" s="7" t="s">
        <v>123</v>
      </c>
      <c r="G144" s="7">
        <v>2021</v>
      </c>
      <c r="H144" s="7" t="str">
        <f>CONCATENATE("14240879875")</f>
        <v>14240879875</v>
      </c>
      <c r="I144" s="7" t="s">
        <v>29</v>
      </c>
      <c r="J144" s="7" t="s">
        <v>30</v>
      </c>
      <c r="K144" s="7" t="str">
        <f>CONCATENATE("")</f>
        <v/>
      </c>
      <c r="L144" s="7" t="str">
        <f>CONCATENATE("10 10.1 4a")</f>
        <v>10 10.1 4a</v>
      </c>
      <c r="M144" s="7" t="str">
        <f>CONCATENATE("MNTMRN60P23A366D")</f>
        <v>MNTMRN60P23A366D</v>
      </c>
      <c r="N144" s="7" t="s">
        <v>230</v>
      </c>
      <c r="O144" s="7"/>
      <c r="P144" s="8">
        <v>44522</v>
      </c>
      <c r="Q144" s="7" t="s">
        <v>31</v>
      </c>
      <c r="R144" s="7" t="s">
        <v>32</v>
      </c>
      <c r="S144" s="7" t="s">
        <v>33</v>
      </c>
      <c r="T144" s="7"/>
      <c r="U144" s="7" t="s">
        <v>34</v>
      </c>
      <c r="V144" s="9">
        <v>4429.4799999999996</v>
      </c>
      <c r="W144" s="9">
        <v>1909.99</v>
      </c>
      <c r="X144" s="9">
        <v>1763.82</v>
      </c>
      <c r="Y144" s="7">
        <v>0</v>
      </c>
      <c r="Z144" s="7">
        <v>755.67</v>
      </c>
    </row>
    <row r="145" spans="1:26" x14ac:dyDescent="0.35">
      <c r="A145" s="7" t="s">
        <v>27</v>
      </c>
      <c r="B145" s="7" t="s">
        <v>28</v>
      </c>
      <c r="C145" s="7" t="s">
        <v>54</v>
      </c>
      <c r="D145" s="7" t="s">
        <v>139</v>
      </c>
      <c r="E145" s="7" t="s">
        <v>36</v>
      </c>
      <c r="F145" s="7" t="s">
        <v>198</v>
      </c>
      <c r="G145" s="7">
        <v>2021</v>
      </c>
      <c r="H145" s="7" t="str">
        <f>CONCATENATE("14240878968")</f>
        <v>14240878968</v>
      </c>
      <c r="I145" s="7" t="s">
        <v>29</v>
      </c>
      <c r="J145" s="7" t="s">
        <v>30</v>
      </c>
      <c r="K145" s="7" t="str">
        <f>CONCATENATE("")</f>
        <v/>
      </c>
      <c r="L145" s="7" t="str">
        <f>CONCATENATE("10 10.1 4a")</f>
        <v>10 10.1 4a</v>
      </c>
      <c r="M145" s="7" t="str">
        <f>CONCATENATE("NGLPLA58R12I156I")</f>
        <v>NGLPLA58R12I156I</v>
      </c>
      <c r="N145" s="7" t="s">
        <v>231</v>
      </c>
      <c r="O145" s="7"/>
      <c r="P145" s="8">
        <v>44522</v>
      </c>
      <c r="Q145" s="7" t="s">
        <v>31</v>
      </c>
      <c r="R145" s="7" t="s">
        <v>32</v>
      </c>
      <c r="S145" s="7" t="s">
        <v>33</v>
      </c>
      <c r="T145" s="7"/>
      <c r="U145" s="7" t="s">
        <v>34</v>
      </c>
      <c r="V145" s="9">
        <v>2227.0300000000002</v>
      </c>
      <c r="W145" s="7">
        <v>960.3</v>
      </c>
      <c r="X145" s="7">
        <v>886.8</v>
      </c>
      <c r="Y145" s="7">
        <v>0</v>
      </c>
      <c r="Z145" s="7">
        <v>379.93</v>
      </c>
    </row>
    <row r="146" spans="1:26" x14ac:dyDescent="0.35">
      <c r="A146" s="7" t="s">
        <v>27</v>
      </c>
      <c r="B146" s="7" t="s">
        <v>28</v>
      </c>
      <c r="C146" s="7" t="s">
        <v>54</v>
      </c>
      <c r="D146" s="7" t="s">
        <v>122</v>
      </c>
      <c r="E146" s="7" t="s">
        <v>36</v>
      </c>
      <c r="F146" s="7" t="s">
        <v>148</v>
      </c>
      <c r="G146" s="7">
        <v>2021</v>
      </c>
      <c r="H146" s="7" t="str">
        <f>CONCATENATE("14240988163")</f>
        <v>14240988163</v>
      </c>
      <c r="I146" s="7" t="s">
        <v>29</v>
      </c>
      <c r="J146" s="7" t="s">
        <v>30</v>
      </c>
      <c r="K146" s="7" t="str">
        <f>CONCATENATE("")</f>
        <v/>
      </c>
      <c r="L146" s="7" t="str">
        <f>CONCATENATE("10 10.1 4a")</f>
        <v>10 10.1 4a</v>
      </c>
      <c r="M146" s="7" t="str">
        <f>CONCATENATE("PCRMTT81S03E388F")</f>
        <v>PCRMTT81S03E388F</v>
      </c>
      <c r="N146" s="7" t="s">
        <v>232</v>
      </c>
      <c r="O146" s="7"/>
      <c r="P146" s="8">
        <v>44522</v>
      </c>
      <c r="Q146" s="7" t="s">
        <v>31</v>
      </c>
      <c r="R146" s="7" t="s">
        <v>32</v>
      </c>
      <c r="S146" s="7" t="s">
        <v>33</v>
      </c>
      <c r="T146" s="7"/>
      <c r="U146" s="7" t="s">
        <v>34</v>
      </c>
      <c r="V146" s="7">
        <v>211.55</v>
      </c>
      <c r="W146" s="7">
        <v>91.22</v>
      </c>
      <c r="X146" s="7">
        <v>84.24</v>
      </c>
      <c r="Y146" s="7">
        <v>0</v>
      </c>
      <c r="Z146" s="7">
        <v>36.090000000000003</v>
      </c>
    </row>
    <row r="147" spans="1:26" x14ac:dyDescent="0.35">
      <c r="A147" s="7" t="s">
        <v>27</v>
      </c>
      <c r="B147" s="7" t="s">
        <v>28</v>
      </c>
      <c r="C147" s="7" t="s">
        <v>54</v>
      </c>
      <c r="D147" s="7" t="s">
        <v>139</v>
      </c>
      <c r="E147" s="7" t="s">
        <v>36</v>
      </c>
      <c r="F147" s="7" t="s">
        <v>184</v>
      </c>
      <c r="G147" s="7">
        <v>2021</v>
      </c>
      <c r="H147" s="7" t="str">
        <f>CONCATENATE("14240997909")</f>
        <v>14240997909</v>
      </c>
      <c r="I147" s="7" t="s">
        <v>29</v>
      </c>
      <c r="J147" s="7" t="s">
        <v>30</v>
      </c>
      <c r="K147" s="7" t="str">
        <f>CONCATENATE("")</f>
        <v/>
      </c>
      <c r="L147" s="7" t="str">
        <f>CONCATENATE("10 10.1 4a")</f>
        <v>10 10.1 4a</v>
      </c>
      <c r="M147" s="7" t="str">
        <f>CONCATENATE("MGLPNI52L42E783F")</f>
        <v>MGLPNI52L42E783F</v>
      </c>
      <c r="N147" s="7" t="s">
        <v>233</v>
      </c>
      <c r="O147" s="7"/>
      <c r="P147" s="8">
        <v>44522</v>
      </c>
      <c r="Q147" s="7" t="s">
        <v>31</v>
      </c>
      <c r="R147" s="7" t="s">
        <v>32</v>
      </c>
      <c r="S147" s="7" t="s">
        <v>33</v>
      </c>
      <c r="T147" s="7"/>
      <c r="U147" s="7" t="s">
        <v>34</v>
      </c>
      <c r="V147" s="7">
        <v>277.29000000000002</v>
      </c>
      <c r="W147" s="7">
        <v>119.57</v>
      </c>
      <c r="X147" s="7">
        <v>110.42</v>
      </c>
      <c r="Y147" s="7">
        <v>0</v>
      </c>
      <c r="Z147" s="7">
        <v>47.3</v>
      </c>
    </row>
    <row r="148" spans="1:26" x14ac:dyDescent="0.35">
      <c r="A148" s="7" t="s">
        <v>27</v>
      </c>
      <c r="B148" s="7" t="s">
        <v>28</v>
      </c>
      <c r="C148" s="7" t="s">
        <v>54</v>
      </c>
      <c r="D148" s="7" t="s">
        <v>122</v>
      </c>
      <c r="E148" s="7" t="s">
        <v>35</v>
      </c>
      <c r="F148" s="7" t="s">
        <v>49</v>
      </c>
      <c r="G148" s="7">
        <v>2021</v>
      </c>
      <c r="H148" s="7" t="str">
        <f>CONCATENATE("14241083840")</f>
        <v>14241083840</v>
      </c>
      <c r="I148" s="7" t="s">
        <v>29</v>
      </c>
      <c r="J148" s="7" t="s">
        <v>30</v>
      </c>
      <c r="K148" s="7" t="str">
        <f>CONCATENATE("")</f>
        <v/>
      </c>
      <c r="L148" s="7" t="str">
        <f>CONCATENATE("10 10.1 4a")</f>
        <v>10 10.1 4a</v>
      </c>
      <c r="M148" s="7" t="str">
        <f>CONCATENATE("01332400421")</f>
        <v>01332400421</v>
      </c>
      <c r="N148" s="7" t="s">
        <v>234</v>
      </c>
      <c r="O148" s="7"/>
      <c r="P148" s="8">
        <v>44522</v>
      </c>
      <c r="Q148" s="7" t="s">
        <v>31</v>
      </c>
      <c r="R148" s="7" t="s">
        <v>32</v>
      </c>
      <c r="S148" s="7" t="s">
        <v>33</v>
      </c>
      <c r="T148" s="7"/>
      <c r="U148" s="7" t="s">
        <v>34</v>
      </c>
      <c r="V148" s="9">
        <v>1071</v>
      </c>
      <c r="W148" s="7">
        <v>461.82</v>
      </c>
      <c r="X148" s="7">
        <v>426.47</v>
      </c>
      <c r="Y148" s="7">
        <v>0</v>
      </c>
      <c r="Z148" s="7">
        <v>182.71</v>
      </c>
    </row>
    <row r="149" spans="1:26" x14ac:dyDescent="0.35">
      <c r="A149" s="7" t="s">
        <v>27</v>
      </c>
      <c r="B149" s="7" t="s">
        <v>28</v>
      </c>
      <c r="C149" s="7" t="s">
        <v>54</v>
      </c>
      <c r="D149" s="7" t="s">
        <v>139</v>
      </c>
      <c r="E149" s="7" t="s">
        <v>36</v>
      </c>
      <c r="F149" s="7" t="s">
        <v>235</v>
      </c>
      <c r="G149" s="7">
        <v>2021</v>
      </c>
      <c r="H149" s="7" t="str">
        <f>CONCATENATE("14241139766")</f>
        <v>14241139766</v>
      </c>
      <c r="I149" s="7" t="s">
        <v>29</v>
      </c>
      <c r="J149" s="7" t="s">
        <v>30</v>
      </c>
      <c r="K149" s="7" t="str">
        <f>CONCATENATE("")</f>
        <v/>
      </c>
      <c r="L149" s="7" t="str">
        <f>CONCATENATE("10 10.1 4a")</f>
        <v>10 10.1 4a</v>
      </c>
      <c r="M149" s="7" t="str">
        <f>CONCATENATE("MLGMRC82D19C770N")</f>
        <v>MLGMRC82D19C770N</v>
      </c>
      <c r="N149" s="7" t="s">
        <v>236</v>
      </c>
      <c r="O149" s="7"/>
      <c r="P149" s="8">
        <v>44522</v>
      </c>
      <c r="Q149" s="7" t="s">
        <v>31</v>
      </c>
      <c r="R149" s="7" t="s">
        <v>32</v>
      </c>
      <c r="S149" s="7" t="s">
        <v>33</v>
      </c>
      <c r="T149" s="7"/>
      <c r="U149" s="7" t="s">
        <v>34</v>
      </c>
      <c r="V149" s="7">
        <v>819.06</v>
      </c>
      <c r="W149" s="7">
        <v>353.18</v>
      </c>
      <c r="X149" s="7">
        <v>326.14999999999998</v>
      </c>
      <c r="Y149" s="7">
        <v>0</v>
      </c>
      <c r="Z149" s="7">
        <v>139.72999999999999</v>
      </c>
    </row>
    <row r="150" spans="1:26" x14ac:dyDescent="0.35">
      <c r="A150" s="7" t="s">
        <v>27</v>
      </c>
      <c r="B150" s="7" t="s">
        <v>28</v>
      </c>
      <c r="C150" s="7" t="s">
        <v>54</v>
      </c>
      <c r="D150" s="7" t="s">
        <v>139</v>
      </c>
      <c r="E150" s="7" t="s">
        <v>37</v>
      </c>
      <c r="F150" s="7" t="s">
        <v>45</v>
      </c>
      <c r="G150" s="7">
        <v>2021</v>
      </c>
      <c r="H150" s="7" t="str">
        <f>CONCATENATE("14241160564")</f>
        <v>14241160564</v>
      </c>
      <c r="I150" s="7" t="s">
        <v>29</v>
      </c>
      <c r="J150" s="7" t="s">
        <v>30</v>
      </c>
      <c r="K150" s="7" t="str">
        <f>CONCATENATE("")</f>
        <v/>
      </c>
      <c r="L150" s="7" t="str">
        <f>CONCATENATE("10 10.1 4a")</f>
        <v>10 10.1 4a</v>
      </c>
      <c r="M150" s="7" t="str">
        <f>CONCATENATE("SLTLCU82T63L191L")</f>
        <v>SLTLCU82T63L191L</v>
      </c>
      <c r="N150" s="7" t="s">
        <v>237</v>
      </c>
      <c r="O150" s="7"/>
      <c r="P150" s="8">
        <v>44522</v>
      </c>
      <c r="Q150" s="7" t="s">
        <v>31</v>
      </c>
      <c r="R150" s="7" t="s">
        <v>32</v>
      </c>
      <c r="S150" s="7" t="s">
        <v>33</v>
      </c>
      <c r="T150" s="7"/>
      <c r="U150" s="7" t="s">
        <v>34</v>
      </c>
      <c r="V150" s="7">
        <v>824.67</v>
      </c>
      <c r="W150" s="7">
        <v>355.6</v>
      </c>
      <c r="X150" s="7">
        <v>328.38</v>
      </c>
      <c r="Y150" s="7">
        <v>0</v>
      </c>
      <c r="Z150" s="7">
        <v>140.69</v>
      </c>
    </row>
    <row r="151" spans="1:26" x14ac:dyDescent="0.35">
      <c r="A151" s="7" t="s">
        <v>27</v>
      </c>
      <c r="B151" s="7" t="s">
        <v>28</v>
      </c>
      <c r="C151" s="7" t="s">
        <v>54</v>
      </c>
      <c r="D151" s="7" t="s">
        <v>139</v>
      </c>
      <c r="E151" s="7" t="s">
        <v>36</v>
      </c>
      <c r="F151" s="7" t="s">
        <v>184</v>
      </c>
      <c r="G151" s="7">
        <v>2021</v>
      </c>
      <c r="H151" s="7" t="str">
        <f>CONCATENATE("14241236208")</f>
        <v>14241236208</v>
      </c>
      <c r="I151" s="7" t="s">
        <v>29</v>
      </c>
      <c r="J151" s="7" t="s">
        <v>30</v>
      </c>
      <c r="K151" s="7" t="str">
        <f>CONCATENATE("")</f>
        <v/>
      </c>
      <c r="L151" s="7" t="str">
        <f>CONCATENATE("10 10.1 4a")</f>
        <v>10 10.1 4a</v>
      </c>
      <c r="M151" s="7" t="str">
        <f>CONCATENATE("GBBMRT39M13A252I")</f>
        <v>GBBMRT39M13A252I</v>
      </c>
      <c r="N151" s="7" t="s">
        <v>238</v>
      </c>
      <c r="O151" s="7"/>
      <c r="P151" s="8">
        <v>44522</v>
      </c>
      <c r="Q151" s="7" t="s">
        <v>31</v>
      </c>
      <c r="R151" s="7" t="s">
        <v>32</v>
      </c>
      <c r="S151" s="7" t="s">
        <v>33</v>
      </c>
      <c r="T151" s="7"/>
      <c r="U151" s="7" t="s">
        <v>34</v>
      </c>
      <c r="V151" s="7">
        <v>534.07000000000005</v>
      </c>
      <c r="W151" s="7">
        <v>230.29</v>
      </c>
      <c r="X151" s="7">
        <v>212.67</v>
      </c>
      <c r="Y151" s="7">
        <v>0</v>
      </c>
      <c r="Z151" s="7">
        <v>91.11</v>
      </c>
    </row>
    <row r="152" spans="1:26" x14ac:dyDescent="0.35">
      <c r="A152" s="7" t="s">
        <v>27</v>
      </c>
      <c r="B152" s="7" t="s">
        <v>28</v>
      </c>
      <c r="C152" s="7" t="s">
        <v>54</v>
      </c>
      <c r="D152" s="7" t="s">
        <v>55</v>
      </c>
      <c r="E152" s="7" t="s">
        <v>40</v>
      </c>
      <c r="F152" s="7" t="s">
        <v>239</v>
      </c>
      <c r="G152" s="7">
        <v>2021</v>
      </c>
      <c r="H152" s="7" t="str">
        <f>CONCATENATE("14241254045")</f>
        <v>14241254045</v>
      </c>
      <c r="I152" s="7" t="s">
        <v>29</v>
      </c>
      <c r="J152" s="7" t="s">
        <v>30</v>
      </c>
      <c r="K152" s="7" t="str">
        <f>CONCATENATE("")</f>
        <v/>
      </c>
      <c r="L152" s="7" t="str">
        <f>CONCATENATE("10 10.1 4a")</f>
        <v>10 10.1 4a</v>
      </c>
      <c r="M152" s="7" t="str">
        <f>CONCATENATE("DSNNGL56A16F570Q")</f>
        <v>DSNNGL56A16F570Q</v>
      </c>
      <c r="N152" s="7" t="s">
        <v>50</v>
      </c>
      <c r="O152" s="7"/>
      <c r="P152" s="8">
        <v>44522</v>
      </c>
      <c r="Q152" s="7" t="s">
        <v>31</v>
      </c>
      <c r="R152" s="7" t="s">
        <v>32</v>
      </c>
      <c r="S152" s="7" t="s">
        <v>33</v>
      </c>
      <c r="T152" s="7"/>
      <c r="U152" s="7" t="s">
        <v>34</v>
      </c>
      <c r="V152" s="7">
        <v>340</v>
      </c>
      <c r="W152" s="7">
        <v>146.61000000000001</v>
      </c>
      <c r="X152" s="7">
        <v>135.38999999999999</v>
      </c>
      <c r="Y152" s="7">
        <v>0</v>
      </c>
      <c r="Z152" s="7">
        <v>58</v>
      </c>
    </row>
    <row r="153" spans="1:26" x14ac:dyDescent="0.35">
      <c r="A153" s="7" t="s">
        <v>27</v>
      </c>
      <c r="B153" s="7" t="s">
        <v>28</v>
      </c>
      <c r="C153" s="7" t="s">
        <v>54</v>
      </c>
      <c r="D153" s="7" t="s">
        <v>139</v>
      </c>
      <c r="E153" s="7" t="s">
        <v>37</v>
      </c>
      <c r="F153" s="7" t="s">
        <v>45</v>
      </c>
      <c r="G153" s="7">
        <v>2021</v>
      </c>
      <c r="H153" s="7" t="str">
        <f>CONCATENATE("14241266064")</f>
        <v>14241266064</v>
      </c>
      <c r="I153" s="7" t="s">
        <v>29</v>
      </c>
      <c r="J153" s="7" t="s">
        <v>30</v>
      </c>
      <c r="K153" s="7" t="str">
        <f>CONCATENATE("")</f>
        <v/>
      </c>
      <c r="L153" s="7" t="str">
        <f>CONCATENATE("10 10.1 4a")</f>
        <v>10 10.1 4a</v>
      </c>
      <c r="M153" s="7" t="str">
        <f>CONCATENATE("PRMJRU95S23I156U")</f>
        <v>PRMJRU95S23I156U</v>
      </c>
      <c r="N153" s="7" t="s">
        <v>240</v>
      </c>
      <c r="O153" s="7"/>
      <c r="P153" s="8">
        <v>44522</v>
      </c>
      <c r="Q153" s="7" t="s">
        <v>31</v>
      </c>
      <c r="R153" s="7" t="s">
        <v>32</v>
      </c>
      <c r="S153" s="7" t="s">
        <v>33</v>
      </c>
      <c r="T153" s="7"/>
      <c r="U153" s="7" t="s">
        <v>34</v>
      </c>
      <c r="V153" s="7">
        <v>494.67</v>
      </c>
      <c r="W153" s="7">
        <v>213.3</v>
      </c>
      <c r="X153" s="7">
        <v>196.98</v>
      </c>
      <c r="Y153" s="7">
        <v>0</v>
      </c>
      <c r="Z153" s="7">
        <v>84.39</v>
      </c>
    </row>
    <row r="154" spans="1:26" x14ac:dyDescent="0.35">
      <c r="A154" s="7" t="s">
        <v>27</v>
      </c>
      <c r="B154" s="7" t="s">
        <v>28</v>
      </c>
      <c r="C154" s="7" t="s">
        <v>54</v>
      </c>
      <c r="D154" s="7" t="s">
        <v>139</v>
      </c>
      <c r="E154" s="7" t="s">
        <v>37</v>
      </c>
      <c r="F154" s="7" t="s">
        <v>45</v>
      </c>
      <c r="G154" s="7">
        <v>2021</v>
      </c>
      <c r="H154" s="7" t="str">
        <f>CONCATENATE("14241302851")</f>
        <v>14241302851</v>
      </c>
      <c r="I154" s="7" t="s">
        <v>29</v>
      </c>
      <c r="J154" s="7" t="s">
        <v>30</v>
      </c>
      <c r="K154" s="7" t="str">
        <f>CONCATENATE("")</f>
        <v/>
      </c>
      <c r="L154" s="7" t="str">
        <f>CONCATENATE("10 10.1 4a")</f>
        <v>10 10.1 4a</v>
      </c>
      <c r="M154" s="7" t="str">
        <f>CONCATENATE("01822020432")</f>
        <v>01822020432</v>
      </c>
      <c r="N154" s="7" t="s">
        <v>241</v>
      </c>
      <c r="O154" s="7"/>
      <c r="P154" s="8">
        <v>44522</v>
      </c>
      <c r="Q154" s="7" t="s">
        <v>31</v>
      </c>
      <c r="R154" s="7" t="s">
        <v>32</v>
      </c>
      <c r="S154" s="7" t="s">
        <v>33</v>
      </c>
      <c r="T154" s="7"/>
      <c r="U154" s="7" t="s">
        <v>34</v>
      </c>
      <c r="V154" s="7">
        <v>238</v>
      </c>
      <c r="W154" s="7">
        <v>102.63</v>
      </c>
      <c r="X154" s="7">
        <v>94.77</v>
      </c>
      <c r="Y154" s="7">
        <v>0</v>
      </c>
      <c r="Z154" s="7">
        <v>40.6</v>
      </c>
    </row>
    <row r="155" spans="1:26" x14ac:dyDescent="0.35">
      <c r="A155" s="7" t="s">
        <v>27</v>
      </c>
      <c r="B155" s="7" t="s">
        <v>28</v>
      </c>
      <c r="C155" s="7" t="s">
        <v>54</v>
      </c>
      <c r="D155" s="7" t="s">
        <v>139</v>
      </c>
      <c r="E155" s="7" t="s">
        <v>37</v>
      </c>
      <c r="F155" s="7" t="s">
        <v>45</v>
      </c>
      <c r="G155" s="7">
        <v>2021</v>
      </c>
      <c r="H155" s="7" t="str">
        <f>CONCATENATE("14241368480")</f>
        <v>14241368480</v>
      </c>
      <c r="I155" s="7" t="s">
        <v>29</v>
      </c>
      <c r="J155" s="7" t="s">
        <v>30</v>
      </c>
      <c r="K155" s="7" t="str">
        <f>CONCATENATE("")</f>
        <v/>
      </c>
      <c r="L155" s="7" t="str">
        <f>CONCATENATE("10 10.1 4a")</f>
        <v>10 10.1 4a</v>
      </c>
      <c r="M155" s="7" t="str">
        <f>CONCATENATE("01914370430")</f>
        <v>01914370430</v>
      </c>
      <c r="N155" s="7" t="s">
        <v>242</v>
      </c>
      <c r="O155" s="7"/>
      <c r="P155" s="8">
        <v>44522</v>
      </c>
      <c r="Q155" s="7" t="s">
        <v>31</v>
      </c>
      <c r="R155" s="7" t="s">
        <v>32</v>
      </c>
      <c r="S155" s="7" t="s">
        <v>33</v>
      </c>
      <c r="T155" s="7"/>
      <c r="U155" s="7" t="s">
        <v>34</v>
      </c>
      <c r="V155" s="9">
        <v>1823.22</v>
      </c>
      <c r="W155" s="7">
        <v>786.17</v>
      </c>
      <c r="X155" s="7">
        <v>726.01</v>
      </c>
      <c r="Y155" s="7">
        <v>0</v>
      </c>
      <c r="Z155" s="7">
        <v>311.04000000000002</v>
      </c>
    </row>
    <row r="156" spans="1:26" x14ac:dyDescent="0.35">
      <c r="A156" s="7" t="s">
        <v>27</v>
      </c>
      <c r="B156" s="7" t="s">
        <v>28</v>
      </c>
      <c r="C156" s="7" t="s">
        <v>54</v>
      </c>
      <c r="D156" s="7" t="s">
        <v>118</v>
      </c>
      <c r="E156" s="7" t="s">
        <v>36</v>
      </c>
      <c r="F156" s="7" t="s">
        <v>119</v>
      </c>
      <c r="G156" s="7">
        <v>2021</v>
      </c>
      <c r="H156" s="7" t="str">
        <f>CONCATENATE("14241396713")</f>
        <v>14241396713</v>
      </c>
      <c r="I156" s="7" t="s">
        <v>29</v>
      </c>
      <c r="J156" s="7" t="s">
        <v>30</v>
      </c>
      <c r="K156" s="7" t="str">
        <f>CONCATENATE("")</f>
        <v/>
      </c>
      <c r="L156" s="7" t="str">
        <f>CONCATENATE("10 10.1 4a")</f>
        <v>10 10.1 4a</v>
      </c>
      <c r="M156" s="7" t="str">
        <f>CONCATENATE("02342680416")</f>
        <v>02342680416</v>
      </c>
      <c r="N156" s="7" t="s">
        <v>243</v>
      </c>
      <c r="O156" s="7"/>
      <c r="P156" s="8">
        <v>44522</v>
      </c>
      <c r="Q156" s="7" t="s">
        <v>31</v>
      </c>
      <c r="R156" s="7" t="s">
        <v>32</v>
      </c>
      <c r="S156" s="7" t="s">
        <v>33</v>
      </c>
      <c r="T156" s="7"/>
      <c r="U156" s="7" t="s">
        <v>34</v>
      </c>
      <c r="V156" s="9">
        <v>2029.87</v>
      </c>
      <c r="W156" s="7">
        <v>875.28</v>
      </c>
      <c r="X156" s="7">
        <v>808.29</v>
      </c>
      <c r="Y156" s="7">
        <v>0</v>
      </c>
      <c r="Z156" s="7">
        <v>346.3</v>
      </c>
    </row>
    <row r="157" spans="1:26" x14ac:dyDescent="0.35">
      <c r="A157" s="7" t="s">
        <v>27</v>
      </c>
      <c r="B157" s="7" t="s">
        <v>28</v>
      </c>
      <c r="C157" s="7" t="s">
        <v>54</v>
      </c>
      <c r="D157" s="7" t="s">
        <v>118</v>
      </c>
      <c r="E157" s="7" t="s">
        <v>37</v>
      </c>
      <c r="F157" s="7" t="s">
        <v>125</v>
      </c>
      <c r="G157" s="7">
        <v>2021</v>
      </c>
      <c r="H157" s="7" t="str">
        <f>CONCATENATE("14240040577")</f>
        <v>14240040577</v>
      </c>
      <c r="I157" s="7" t="s">
        <v>29</v>
      </c>
      <c r="J157" s="7" t="s">
        <v>30</v>
      </c>
      <c r="K157" s="7" t="str">
        <f>CONCATENATE("")</f>
        <v/>
      </c>
      <c r="L157" s="7" t="str">
        <f>CONCATENATE("10 10.1 4a")</f>
        <v>10 10.1 4a</v>
      </c>
      <c r="M157" s="7" t="str">
        <f>CONCATENATE("RSSLCU71C01L498P")</f>
        <v>RSSLCU71C01L498P</v>
      </c>
      <c r="N157" s="7" t="s">
        <v>244</v>
      </c>
      <c r="O157" s="7"/>
      <c r="P157" s="8">
        <v>44522</v>
      </c>
      <c r="Q157" s="7" t="s">
        <v>31</v>
      </c>
      <c r="R157" s="7" t="s">
        <v>32</v>
      </c>
      <c r="S157" s="7" t="s">
        <v>33</v>
      </c>
      <c r="T157" s="7"/>
      <c r="U157" s="7" t="s">
        <v>34</v>
      </c>
      <c r="V157" s="7">
        <v>478.75</v>
      </c>
      <c r="W157" s="7">
        <v>206.44</v>
      </c>
      <c r="X157" s="7">
        <v>190.64</v>
      </c>
      <c r="Y157" s="7">
        <v>0</v>
      </c>
      <c r="Z157" s="7">
        <v>81.67</v>
      </c>
    </row>
    <row r="158" spans="1:26" x14ac:dyDescent="0.35">
      <c r="A158" s="7" t="s">
        <v>27</v>
      </c>
      <c r="B158" s="7" t="s">
        <v>28</v>
      </c>
      <c r="C158" s="7" t="s">
        <v>54</v>
      </c>
      <c r="D158" s="7" t="s">
        <v>122</v>
      </c>
      <c r="E158" s="7" t="s">
        <v>38</v>
      </c>
      <c r="F158" s="7" t="s">
        <v>135</v>
      </c>
      <c r="G158" s="7">
        <v>2021</v>
      </c>
      <c r="H158" s="7" t="str">
        <f>CONCATENATE("14240050964")</f>
        <v>14240050964</v>
      </c>
      <c r="I158" s="7" t="s">
        <v>29</v>
      </c>
      <c r="J158" s="7" t="s">
        <v>30</v>
      </c>
      <c r="K158" s="7" t="str">
        <f>CONCATENATE("")</f>
        <v/>
      </c>
      <c r="L158" s="7" t="str">
        <f>CONCATENATE("10 10.1 4a")</f>
        <v>10 10.1 4a</v>
      </c>
      <c r="M158" s="7" t="str">
        <f>CONCATENATE("FDRBNR58P20E388X")</f>
        <v>FDRBNR58P20E388X</v>
      </c>
      <c r="N158" s="7" t="s">
        <v>245</v>
      </c>
      <c r="O158" s="7"/>
      <c r="P158" s="8">
        <v>44522</v>
      </c>
      <c r="Q158" s="7" t="s">
        <v>31</v>
      </c>
      <c r="R158" s="7" t="s">
        <v>32</v>
      </c>
      <c r="S158" s="7" t="s">
        <v>33</v>
      </c>
      <c r="T158" s="7"/>
      <c r="U158" s="7" t="s">
        <v>34</v>
      </c>
      <c r="V158" s="7">
        <v>245.21</v>
      </c>
      <c r="W158" s="7">
        <v>105.73</v>
      </c>
      <c r="X158" s="7">
        <v>97.64</v>
      </c>
      <c r="Y158" s="7">
        <v>0</v>
      </c>
      <c r="Z158" s="7">
        <v>41.84</v>
      </c>
    </row>
    <row r="159" spans="1:26" x14ac:dyDescent="0.35">
      <c r="A159" s="7" t="s">
        <v>27</v>
      </c>
      <c r="B159" s="7" t="s">
        <v>28</v>
      </c>
      <c r="C159" s="7" t="s">
        <v>54</v>
      </c>
      <c r="D159" s="7" t="s">
        <v>122</v>
      </c>
      <c r="E159" s="7" t="s">
        <v>38</v>
      </c>
      <c r="F159" s="7" t="s">
        <v>135</v>
      </c>
      <c r="G159" s="7">
        <v>2021</v>
      </c>
      <c r="H159" s="7" t="str">
        <f>CONCATENATE("14240074626")</f>
        <v>14240074626</v>
      </c>
      <c r="I159" s="7" t="s">
        <v>29</v>
      </c>
      <c r="J159" s="7" t="s">
        <v>30</v>
      </c>
      <c r="K159" s="7" t="str">
        <f>CONCATENATE("")</f>
        <v/>
      </c>
      <c r="L159" s="7" t="str">
        <f>CONCATENATE("10 10.1 4a")</f>
        <v>10 10.1 4a</v>
      </c>
      <c r="M159" s="7" t="str">
        <f>CONCATENATE("CNDCRL63E17F634T")</f>
        <v>CNDCRL63E17F634T</v>
      </c>
      <c r="N159" s="7" t="s">
        <v>246</v>
      </c>
      <c r="O159" s="7"/>
      <c r="P159" s="8">
        <v>44522</v>
      </c>
      <c r="Q159" s="7" t="s">
        <v>31</v>
      </c>
      <c r="R159" s="7" t="s">
        <v>32</v>
      </c>
      <c r="S159" s="7" t="s">
        <v>33</v>
      </c>
      <c r="T159" s="7"/>
      <c r="U159" s="7" t="s">
        <v>34</v>
      </c>
      <c r="V159" s="7">
        <v>190.09</v>
      </c>
      <c r="W159" s="7">
        <v>81.97</v>
      </c>
      <c r="X159" s="7">
        <v>75.69</v>
      </c>
      <c r="Y159" s="7">
        <v>0</v>
      </c>
      <c r="Z159" s="7">
        <v>32.43</v>
      </c>
    </row>
    <row r="160" spans="1:26" x14ac:dyDescent="0.35">
      <c r="A160" s="7" t="s">
        <v>27</v>
      </c>
      <c r="B160" s="7" t="s">
        <v>28</v>
      </c>
      <c r="C160" s="7" t="s">
        <v>54</v>
      </c>
      <c r="D160" s="7" t="s">
        <v>122</v>
      </c>
      <c r="E160" s="7" t="s">
        <v>40</v>
      </c>
      <c r="F160" s="7" t="s">
        <v>156</v>
      </c>
      <c r="G160" s="7">
        <v>2021</v>
      </c>
      <c r="H160" s="7" t="str">
        <f>CONCATENATE("14240783465")</f>
        <v>14240783465</v>
      </c>
      <c r="I160" s="7" t="s">
        <v>29</v>
      </c>
      <c r="J160" s="7" t="s">
        <v>30</v>
      </c>
      <c r="K160" s="7" t="str">
        <f>CONCATENATE("")</f>
        <v/>
      </c>
      <c r="L160" s="7" t="str">
        <f>CONCATENATE("10 10.1 4a")</f>
        <v>10 10.1 4a</v>
      </c>
      <c r="M160" s="7" t="str">
        <f>CONCATENATE("02701950426")</f>
        <v>02701950426</v>
      </c>
      <c r="N160" s="7" t="s">
        <v>247</v>
      </c>
      <c r="O160" s="7"/>
      <c r="P160" s="8">
        <v>44522</v>
      </c>
      <c r="Q160" s="7" t="s">
        <v>31</v>
      </c>
      <c r="R160" s="7" t="s">
        <v>32</v>
      </c>
      <c r="S160" s="7" t="s">
        <v>33</v>
      </c>
      <c r="T160" s="7"/>
      <c r="U160" s="7" t="s">
        <v>34</v>
      </c>
      <c r="V160" s="7">
        <v>210.94</v>
      </c>
      <c r="W160" s="7">
        <v>90.96</v>
      </c>
      <c r="X160" s="7">
        <v>84</v>
      </c>
      <c r="Y160" s="7">
        <v>0</v>
      </c>
      <c r="Z160" s="7">
        <v>35.979999999999997</v>
      </c>
    </row>
    <row r="161" spans="1:26" ht="17.5" x14ac:dyDescent="0.35">
      <c r="A161" s="7" t="s">
        <v>27</v>
      </c>
      <c r="B161" s="7" t="s">
        <v>28</v>
      </c>
      <c r="C161" s="7" t="s">
        <v>54</v>
      </c>
      <c r="D161" s="7" t="s">
        <v>55</v>
      </c>
      <c r="E161" s="7" t="s">
        <v>36</v>
      </c>
      <c r="F161" s="7" t="s">
        <v>56</v>
      </c>
      <c r="G161" s="7">
        <v>2021</v>
      </c>
      <c r="H161" s="7" t="str">
        <f>CONCATENATE("14240085606")</f>
        <v>14240085606</v>
      </c>
      <c r="I161" s="7" t="s">
        <v>29</v>
      </c>
      <c r="J161" s="7" t="s">
        <v>30</v>
      </c>
      <c r="K161" s="7" t="str">
        <f>CONCATENATE("")</f>
        <v/>
      </c>
      <c r="L161" s="7" t="str">
        <f>CONCATENATE("10 10.1 4a")</f>
        <v>10 10.1 4a</v>
      </c>
      <c r="M161" s="7" t="str">
        <f>CONCATENATE("02267520449")</f>
        <v>02267520449</v>
      </c>
      <c r="N161" s="7" t="s">
        <v>248</v>
      </c>
      <c r="O161" s="7"/>
      <c r="P161" s="8">
        <v>44522</v>
      </c>
      <c r="Q161" s="7" t="s">
        <v>31</v>
      </c>
      <c r="R161" s="7" t="s">
        <v>32</v>
      </c>
      <c r="S161" s="7" t="s">
        <v>33</v>
      </c>
      <c r="T161" s="7"/>
      <c r="U161" s="7" t="s">
        <v>34</v>
      </c>
      <c r="V161" s="9">
        <v>3016.78</v>
      </c>
      <c r="W161" s="9">
        <v>1300.8399999999999</v>
      </c>
      <c r="X161" s="9">
        <v>1201.28</v>
      </c>
      <c r="Y161" s="7">
        <v>0</v>
      </c>
      <c r="Z161" s="7">
        <v>514.66</v>
      </c>
    </row>
    <row r="162" spans="1:26" x14ac:dyDescent="0.35">
      <c r="A162" s="7" t="s">
        <v>27</v>
      </c>
      <c r="B162" s="7" t="s">
        <v>28</v>
      </c>
      <c r="C162" s="7" t="s">
        <v>54</v>
      </c>
      <c r="D162" s="7" t="s">
        <v>118</v>
      </c>
      <c r="E162" s="7" t="s">
        <v>36</v>
      </c>
      <c r="F162" s="7" t="s">
        <v>133</v>
      </c>
      <c r="G162" s="7">
        <v>2021</v>
      </c>
      <c r="H162" s="7" t="str">
        <f>CONCATENATE("14240486275")</f>
        <v>14240486275</v>
      </c>
      <c r="I162" s="7" t="s">
        <v>29</v>
      </c>
      <c r="J162" s="7" t="s">
        <v>30</v>
      </c>
      <c r="K162" s="7" t="str">
        <f>CONCATENATE("")</f>
        <v/>
      </c>
      <c r="L162" s="7" t="str">
        <f>CONCATENATE("10 10.1 4a")</f>
        <v>10 10.1 4a</v>
      </c>
      <c r="M162" s="7" t="str">
        <f>CONCATENATE("RMTGCM91B05G535X")</f>
        <v>RMTGCM91B05G535X</v>
      </c>
      <c r="N162" s="7" t="s">
        <v>249</v>
      </c>
      <c r="O162" s="7"/>
      <c r="P162" s="8">
        <v>44522</v>
      </c>
      <c r="Q162" s="7" t="s">
        <v>31</v>
      </c>
      <c r="R162" s="7" t="s">
        <v>32</v>
      </c>
      <c r="S162" s="7" t="s">
        <v>33</v>
      </c>
      <c r="T162" s="7"/>
      <c r="U162" s="7" t="s">
        <v>34</v>
      </c>
      <c r="V162" s="9">
        <v>5950</v>
      </c>
      <c r="W162" s="9">
        <v>2565.64</v>
      </c>
      <c r="X162" s="9">
        <v>2369.29</v>
      </c>
      <c r="Y162" s="7">
        <v>0</v>
      </c>
      <c r="Z162" s="9">
        <v>1015.07</v>
      </c>
    </row>
    <row r="163" spans="1:26" x14ac:dyDescent="0.35">
      <c r="A163" s="7" t="s">
        <v>27</v>
      </c>
      <c r="B163" s="7" t="s">
        <v>28</v>
      </c>
      <c r="C163" s="7" t="s">
        <v>54</v>
      </c>
      <c r="D163" s="7" t="s">
        <v>139</v>
      </c>
      <c r="E163" s="7" t="s">
        <v>36</v>
      </c>
      <c r="F163" s="7" t="s">
        <v>217</v>
      </c>
      <c r="G163" s="7">
        <v>2021</v>
      </c>
      <c r="H163" s="7" t="str">
        <f>CONCATENATE("14240154261")</f>
        <v>14240154261</v>
      </c>
      <c r="I163" s="7" t="s">
        <v>29</v>
      </c>
      <c r="J163" s="7" t="s">
        <v>30</v>
      </c>
      <c r="K163" s="7" t="str">
        <f>CONCATENATE("")</f>
        <v/>
      </c>
      <c r="L163" s="7" t="str">
        <f>CONCATENATE("10 10.1 4a")</f>
        <v>10 10.1 4a</v>
      </c>
      <c r="M163" s="7" t="str">
        <f>CONCATENATE("CPRMRS64T59F552X")</f>
        <v>CPRMRS64T59F552X</v>
      </c>
      <c r="N163" s="7" t="s">
        <v>250</v>
      </c>
      <c r="O163" s="7"/>
      <c r="P163" s="8">
        <v>44522</v>
      </c>
      <c r="Q163" s="7" t="s">
        <v>31</v>
      </c>
      <c r="R163" s="7" t="s">
        <v>32</v>
      </c>
      <c r="S163" s="7" t="s">
        <v>33</v>
      </c>
      <c r="T163" s="7"/>
      <c r="U163" s="7" t="s">
        <v>34</v>
      </c>
      <c r="V163" s="7">
        <v>730.58</v>
      </c>
      <c r="W163" s="7">
        <v>315.02999999999997</v>
      </c>
      <c r="X163" s="7">
        <v>290.92</v>
      </c>
      <c r="Y163" s="7">
        <v>0</v>
      </c>
      <c r="Z163" s="7">
        <v>124.63</v>
      </c>
    </row>
    <row r="164" spans="1:26" x14ac:dyDescent="0.35">
      <c r="A164" s="7" t="s">
        <v>27</v>
      </c>
      <c r="B164" s="7" t="s">
        <v>28</v>
      </c>
      <c r="C164" s="7" t="s">
        <v>54</v>
      </c>
      <c r="D164" s="7" t="s">
        <v>55</v>
      </c>
      <c r="E164" s="7" t="s">
        <v>38</v>
      </c>
      <c r="F164" s="7" t="s">
        <v>71</v>
      </c>
      <c r="G164" s="7">
        <v>2021</v>
      </c>
      <c r="H164" s="7" t="str">
        <f>CONCATENATE("14240197104")</f>
        <v>14240197104</v>
      </c>
      <c r="I164" s="7" t="s">
        <v>29</v>
      </c>
      <c r="J164" s="7" t="s">
        <v>30</v>
      </c>
      <c r="K164" s="7" t="str">
        <f>CONCATENATE("")</f>
        <v/>
      </c>
      <c r="L164" s="7" t="str">
        <f>CONCATENATE("10 10.1 4a")</f>
        <v>10 10.1 4a</v>
      </c>
      <c r="M164" s="7" t="str">
        <f>CONCATENATE("LCNVCN75C03F241J")</f>
        <v>LCNVCN75C03F241J</v>
      </c>
      <c r="N164" s="7" t="s">
        <v>251</v>
      </c>
      <c r="O164" s="7"/>
      <c r="P164" s="8">
        <v>44522</v>
      </c>
      <c r="Q164" s="7" t="s">
        <v>31</v>
      </c>
      <c r="R164" s="7" t="s">
        <v>32</v>
      </c>
      <c r="S164" s="7" t="s">
        <v>33</v>
      </c>
      <c r="T164" s="7"/>
      <c r="U164" s="7" t="s">
        <v>34</v>
      </c>
      <c r="V164" s="7">
        <v>860.02</v>
      </c>
      <c r="W164" s="7">
        <v>370.84</v>
      </c>
      <c r="X164" s="7">
        <v>342.46</v>
      </c>
      <c r="Y164" s="7">
        <v>0</v>
      </c>
      <c r="Z164" s="7">
        <v>146.72</v>
      </c>
    </row>
    <row r="165" spans="1:26" x14ac:dyDescent="0.35">
      <c r="A165" s="7" t="s">
        <v>27</v>
      </c>
      <c r="B165" s="7" t="s">
        <v>28</v>
      </c>
      <c r="C165" s="7" t="s">
        <v>54</v>
      </c>
      <c r="D165" s="7" t="s">
        <v>55</v>
      </c>
      <c r="E165" s="7" t="s">
        <v>38</v>
      </c>
      <c r="F165" s="7" t="s">
        <v>71</v>
      </c>
      <c r="G165" s="7">
        <v>2021</v>
      </c>
      <c r="H165" s="7" t="str">
        <f>CONCATENATE("14240208885")</f>
        <v>14240208885</v>
      </c>
      <c r="I165" s="7" t="s">
        <v>29</v>
      </c>
      <c r="J165" s="7" t="s">
        <v>30</v>
      </c>
      <c r="K165" s="7" t="str">
        <f>CONCATENATE("")</f>
        <v/>
      </c>
      <c r="L165" s="7" t="str">
        <f>CONCATENATE("10 10.1 4a")</f>
        <v>10 10.1 4a</v>
      </c>
      <c r="M165" s="7" t="str">
        <f>CONCATENATE("MRLRRE77C12G516I")</f>
        <v>MRLRRE77C12G516I</v>
      </c>
      <c r="N165" s="7" t="s">
        <v>252</v>
      </c>
      <c r="O165" s="7"/>
      <c r="P165" s="8">
        <v>44522</v>
      </c>
      <c r="Q165" s="7" t="s">
        <v>31</v>
      </c>
      <c r="R165" s="7" t="s">
        <v>32</v>
      </c>
      <c r="S165" s="7" t="s">
        <v>33</v>
      </c>
      <c r="T165" s="7"/>
      <c r="U165" s="7" t="s">
        <v>34</v>
      </c>
      <c r="V165" s="7">
        <v>961.5</v>
      </c>
      <c r="W165" s="7">
        <v>414.6</v>
      </c>
      <c r="X165" s="7">
        <v>382.87</v>
      </c>
      <c r="Y165" s="7">
        <v>0</v>
      </c>
      <c r="Z165" s="7">
        <v>164.03</v>
      </c>
    </row>
    <row r="166" spans="1:26" x14ac:dyDescent="0.35">
      <c r="A166" s="7" t="s">
        <v>27</v>
      </c>
      <c r="B166" s="7" t="s">
        <v>28</v>
      </c>
      <c r="C166" s="7" t="s">
        <v>54</v>
      </c>
      <c r="D166" s="7" t="s">
        <v>139</v>
      </c>
      <c r="E166" s="7" t="s">
        <v>36</v>
      </c>
      <c r="F166" s="7" t="s">
        <v>198</v>
      </c>
      <c r="G166" s="7">
        <v>2021</v>
      </c>
      <c r="H166" s="7" t="str">
        <f>CONCATENATE("14240229527")</f>
        <v>14240229527</v>
      </c>
      <c r="I166" s="7" t="s">
        <v>29</v>
      </c>
      <c r="J166" s="7" t="s">
        <v>30</v>
      </c>
      <c r="K166" s="7" t="str">
        <f>CONCATENATE("")</f>
        <v/>
      </c>
      <c r="L166" s="7" t="str">
        <f>CONCATENATE("10 10.1 4a")</f>
        <v>10 10.1 4a</v>
      </c>
      <c r="M166" s="7" t="str">
        <f>CONCATENATE("NBLCNZ73S59I156C")</f>
        <v>NBLCNZ73S59I156C</v>
      </c>
      <c r="N166" s="7" t="s">
        <v>253</v>
      </c>
      <c r="O166" s="7"/>
      <c r="P166" s="8">
        <v>44522</v>
      </c>
      <c r="Q166" s="7" t="s">
        <v>31</v>
      </c>
      <c r="R166" s="7" t="s">
        <v>32</v>
      </c>
      <c r="S166" s="7" t="s">
        <v>33</v>
      </c>
      <c r="T166" s="7"/>
      <c r="U166" s="7" t="s">
        <v>34</v>
      </c>
      <c r="V166" s="7">
        <v>683.91</v>
      </c>
      <c r="W166" s="7">
        <v>294.89999999999998</v>
      </c>
      <c r="X166" s="7">
        <v>272.33</v>
      </c>
      <c r="Y166" s="7">
        <v>0</v>
      </c>
      <c r="Z166" s="7">
        <v>116.68</v>
      </c>
    </row>
    <row r="167" spans="1:26" x14ac:dyDescent="0.35">
      <c r="A167" s="7" t="s">
        <v>27</v>
      </c>
      <c r="B167" s="7" t="s">
        <v>28</v>
      </c>
      <c r="C167" s="7" t="s">
        <v>54</v>
      </c>
      <c r="D167" s="7" t="s">
        <v>122</v>
      </c>
      <c r="E167" s="7" t="s">
        <v>38</v>
      </c>
      <c r="F167" s="7" t="s">
        <v>135</v>
      </c>
      <c r="G167" s="7">
        <v>2021</v>
      </c>
      <c r="H167" s="7" t="str">
        <f>CONCATENATE("14240293945")</f>
        <v>14240293945</v>
      </c>
      <c r="I167" s="7" t="s">
        <v>29</v>
      </c>
      <c r="J167" s="7" t="s">
        <v>30</v>
      </c>
      <c r="K167" s="7" t="str">
        <f>CONCATENATE("")</f>
        <v/>
      </c>
      <c r="L167" s="7" t="str">
        <f>CONCATENATE("10 10.1 4a")</f>
        <v>10 10.1 4a</v>
      </c>
      <c r="M167" s="7" t="str">
        <f>CONCATENATE("BRVPLA73A71E388I")</f>
        <v>BRVPLA73A71E388I</v>
      </c>
      <c r="N167" s="7" t="s">
        <v>254</v>
      </c>
      <c r="O167" s="7"/>
      <c r="P167" s="8">
        <v>44522</v>
      </c>
      <c r="Q167" s="7" t="s">
        <v>31</v>
      </c>
      <c r="R167" s="7" t="s">
        <v>32</v>
      </c>
      <c r="S167" s="7" t="s">
        <v>33</v>
      </c>
      <c r="T167" s="7"/>
      <c r="U167" s="7" t="s">
        <v>34</v>
      </c>
      <c r="V167" s="7">
        <v>72.62</v>
      </c>
      <c r="W167" s="7">
        <v>31.31</v>
      </c>
      <c r="X167" s="7">
        <v>28.92</v>
      </c>
      <c r="Y167" s="7">
        <v>0</v>
      </c>
      <c r="Z167" s="7">
        <v>12.39</v>
      </c>
    </row>
    <row r="168" spans="1:26" x14ac:dyDescent="0.35">
      <c r="A168" s="7" t="s">
        <v>27</v>
      </c>
      <c r="B168" s="7" t="s">
        <v>28</v>
      </c>
      <c r="C168" s="7" t="s">
        <v>54</v>
      </c>
      <c r="D168" s="7" t="s">
        <v>55</v>
      </c>
      <c r="E168" s="7" t="s">
        <v>38</v>
      </c>
      <c r="F168" s="7" t="s">
        <v>71</v>
      </c>
      <c r="G168" s="7">
        <v>2021</v>
      </c>
      <c r="H168" s="7" t="str">
        <f>CONCATENATE("14240332834")</f>
        <v>14240332834</v>
      </c>
      <c r="I168" s="7" t="s">
        <v>29</v>
      </c>
      <c r="J168" s="7" t="s">
        <v>30</v>
      </c>
      <c r="K168" s="7" t="str">
        <f>CONCATENATE("")</f>
        <v/>
      </c>
      <c r="L168" s="7" t="str">
        <f>CONCATENATE("10 10.1 4a")</f>
        <v>10 10.1 4a</v>
      </c>
      <c r="M168" s="7" t="str">
        <f>CONCATENATE("MRTMRN86L07A252N")</f>
        <v>MRTMRN86L07A252N</v>
      </c>
      <c r="N168" s="7" t="s">
        <v>255</v>
      </c>
      <c r="O168" s="7"/>
      <c r="P168" s="8">
        <v>44522</v>
      </c>
      <c r="Q168" s="7" t="s">
        <v>31</v>
      </c>
      <c r="R168" s="7" t="s">
        <v>32</v>
      </c>
      <c r="S168" s="7" t="s">
        <v>33</v>
      </c>
      <c r="T168" s="7"/>
      <c r="U168" s="7" t="s">
        <v>34</v>
      </c>
      <c r="V168" s="7">
        <v>510.6</v>
      </c>
      <c r="W168" s="7">
        <v>220.17</v>
      </c>
      <c r="X168" s="7">
        <v>203.32</v>
      </c>
      <c r="Y168" s="7">
        <v>0</v>
      </c>
      <c r="Z168" s="7">
        <v>87.11</v>
      </c>
    </row>
    <row r="169" spans="1:26" x14ac:dyDescent="0.35">
      <c r="A169" s="7" t="s">
        <v>27</v>
      </c>
      <c r="B169" s="7" t="s">
        <v>28</v>
      </c>
      <c r="C169" s="7" t="s">
        <v>54</v>
      </c>
      <c r="D169" s="7" t="s">
        <v>55</v>
      </c>
      <c r="E169" s="7" t="s">
        <v>35</v>
      </c>
      <c r="F169" s="7" t="s">
        <v>47</v>
      </c>
      <c r="G169" s="7">
        <v>2021</v>
      </c>
      <c r="H169" s="7" t="str">
        <f>CONCATENATE("14240353244")</f>
        <v>14240353244</v>
      </c>
      <c r="I169" s="7" t="s">
        <v>29</v>
      </c>
      <c r="J169" s="7" t="s">
        <v>30</v>
      </c>
      <c r="K169" s="7" t="str">
        <f>CONCATENATE("")</f>
        <v/>
      </c>
      <c r="L169" s="7" t="str">
        <f>CONCATENATE("10 10.1 4a")</f>
        <v>10 10.1 4a</v>
      </c>
      <c r="M169" s="7" t="str">
        <f>CONCATENATE("SQNQTL63R30A462J")</f>
        <v>SQNQTL63R30A462J</v>
      </c>
      <c r="N169" s="7" t="s">
        <v>256</v>
      </c>
      <c r="O169" s="7"/>
      <c r="P169" s="8">
        <v>44522</v>
      </c>
      <c r="Q169" s="7" t="s">
        <v>31</v>
      </c>
      <c r="R169" s="7" t="s">
        <v>32</v>
      </c>
      <c r="S169" s="7" t="s">
        <v>33</v>
      </c>
      <c r="T169" s="7"/>
      <c r="U169" s="7" t="s">
        <v>34</v>
      </c>
      <c r="V169" s="9">
        <v>1068.8599999999999</v>
      </c>
      <c r="W169" s="7">
        <v>460.89</v>
      </c>
      <c r="X169" s="7">
        <v>425.62</v>
      </c>
      <c r="Y169" s="7">
        <v>0</v>
      </c>
      <c r="Z169" s="7">
        <v>182.35</v>
      </c>
    </row>
    <row r="170" spans="1:26" x14ac:dyDescent="0.35">
      <c r="A170" s="7" t="s">
        <v>27</v>
      </c>
      <c r="B170" s="7" t="s">
        <v>28</v>
      </c>
      <c r="C170" s="7" t="s">
        <v>54</v>
      </c>
      <c r="D170" s="7" t="s">
        <v>139</v>
      </c>
      <c r="E170" s="7" t="s">
        <v>35</v>
      </c>
      <c r="F170" s="7" t="s">
        <v>47</v>
      </c>
      <c r="G170" s="7">
        <v>2021</v>
      </c>
      <c r="H170" s="7" t="str">
        <f>CONCATENATE("14240393919")</f>
        <v>14240393919</v>
      </c>
      <c r="I170" s="7" t="s">
        <v>29</v>
      </c>
      <c r="J170" s="7" t="s">
        <v>30</v>
      </c>
      <c r="K170" s="7" t="str">
        <f>CONCATENATE("")</f>
        <v/>
      </c>
      <c r="L170" s="7" t="str">
        <f>CONCATENATE("10 10.1 4a")</f>
        <v>10 10.1 4a</v>
      </c>
      <c r="M170" s="7" t="str">
        <f>CONCATENATE("RSSVNT79E45F520P")</f>
        <v>RSSVNT79E45F520P</v>
      </c>
      <c r="N170" s="7" t="s">
        <v>257</v>
      </c>
      <c r="O170" s="7"/>
      <c r="P170" s="8">
        <v>44522</v>
      </c>
      <c r="Q170" s="7" t="s">
        <v>31</v>
      </c>
      <c r="R170" s="7" t="s">
        <v>32</v>
      </c>
      <c r="S170" s="7" t="s">
        <v>33</v>
      </c>
      <c r="T170" s="7"/>
      <c r="U170" s="7" t="s">
        <v>34</v>
      </c>
      <c r="V170" s="7">
        <v>121.07</v>
      </c>
      <c r="W170" s="7">
        <v>52.21</v>
      </c>
      <c r="X170" s="7">
        <v>48.21</v>
      </c>
      <c r="Y170" s="7">
        <v>0</v>
      </c>
      <c r="Z170" s="7">
        <v>20.65</v>
      </c>
    </row>
    <row r="171" spans="1:26" x14ac:dyDescent="0.35">
      <c r="A171" s="7" t="s">
        <v>27</v>
      </c>
      <c r="B171" s="7" t="s">
        <v>28</v>
      </c>
      <c r="C171" s="7" t="s">
        <v>54</v>
      </c>
      <c r="D171" s="7" t="s">
        <v>139</v>
      </c>
      <c r="E171" s="7" t="s">
        <v>36</v>
      </c>
      <c r="F171" s="7" t="s">
        <v>184</v>
      </c>
      <c r="G171" s="7">
        <v>2021</v>
      </c>
      <c r="H171" s="7" t="str">
        <f>CONCATENATE("14240451626")</f>
        <v>14240451626</v>
      </c>
      <c r="I171" s="7" t="s">
        <v>29</v>
      </c>
      <c r="J171" s="7" t="s">
        <v>30</v>
      </c>
      <c r="K171" s="7" t="str">
        <f>CONCATENATE("")</f>
        <v/>
      </c>
      <c r="L171" s="7" t="str">
        <f>CONCATENATE("10 10.1 4a")</f>
        <v>10 10.1 4a</v>
      </c>
      <c r="M171" s="7" t="str">
        <f>CONCATENATE("VRGFNC63S10A252M")</f>
        <v>VRGFNC63S10A252M</v>
      </c>
      <c r="N171" s="7" t="s">
        <v>258</v>
      </c>
      <c r="O171" s="7"/>
      <c r="P171" s="8">
        <v>44522</v>
      </c>
      <c r="Q171" s="7" t="s">
        <v>31</v>
      </c>
      <c r="R171" s="7" t="s">
        <v>32</v>
      </c>
      <c r="S171" s="7" t="s">
        <v>33</v>
      </c>
      <c r="T171" s="7"/>
      <c r="U171" s="7" t="s">
        <v>34</v>
      </c>
      <c r="V171" s="7">
        <v>200.74</v>
      </c>
      <c r="W171" s="7">
        <v>86.56</v>
      </c>
      <c r="X171" s="7">
        <v>79.930000000000007</v>
      </c>
      <c r="Y171" s="7">
        <v>0</v>
      </c>
      <c r="Z171" s="7">
        <v>34.25</v>
      </c>
    </row>
    <row r="172" spans="1:26" x14ac:dyDescent="0.35">
      <c r="A172" s="7" t="s">
        <v>27</v>
      </c>
      <c r="B172" s="7" t="s">
        <v>28</v>
      </c>
      <c r="C172" s="7" t="s">
        <v>54</v>
      </c>
      <c r="D172" s="7" t="s">
        <v>139</v>
      </c>
      <c r="E172" s="7" t="s">
        <v>35</v>
      </c>
      <c r="F172" s="7" t="s">
        <v>158</v>
      </c>
      <c r="G172" s="7">
        <v>2021</v>
      </c>
      <c r="H172" s="7" t="str">
        <f>CONCATENATE("14240465600")</f>
        <v>14240465600</v>
      </c>
      <c r="I172" s="7" t="s">
        <v>29</v>
      </c>
      <c r="J172" s="7" t="s">
        <v>30</v>
      </c>
      <c r="K172" s="7" t="str">
        <f>CONCATENATE("")</f>
        <v/>
      </c>
      <c r="L172" s="7" t="str">
        <f>CONCATENATE("10 10.1 4a")</f>
        <v>10 10.1 4a</v>
      </c>
      <c r="M172" s="7" t="str">
        <f>CONCATENATE("SBBSLV77S69H211C")</f>
        <v>SBBSLV77S69H211C</v>
      </c>
      <c r="N172" s="7" t="s">
        <v>259</v>
      </c>
      <c r="O172" s="7"/>
      <c r="P172" s="8">
        <v>44522</v>
      </c>
      <c r="Q172" s="7" t="s">
        <v>31</v>
      </c>
      <c r="R172" s="7" t="s">
        <v>32</v>
      </c>
      <c r="S172" s="7" t="s">
        <v>33</v>
      </c>
      <c r="T172" s="7"/>
      <c r="U172" s="7" t="s">
        <v>34</v>
      </c>
      <c r="V172" s="9">
        <v>4879.82</v>
      </c>
      <c r="W172" s="9">
        <v>2104.1799999999998</v>
      </c>
      <c r="X172" s="9">
        <v>1943.14</v>
      </c>
      <c r="Y172" s="7">
        <v>0</v>
      </c>
      <c r="Z172" s="7">
        <v>832.5</v>
      </c>
    </row>
    <row r="173" spans="1:26" x14ac:dyDescent="0.35">
      <c r="A173" s="7" t="s">
        <v>27</v>
      </c>
      <c r="B173" s="7" t="s">
        <v>28</v>
      </c>
      <c r="C173" s="7" t="s">
        <v>54</v>
      </c>
      <c r="D173" s="7" t="s">
        <v>139</v>
      </c>
      <c r="E173" s="7" t="s">
        <v>35</v>
      </c>
      <c r="F173" s="7" t="s">
        <v>158</v>
      </c>
      <c r="G173" s="7">
        <v>2021</v>
      </c>
      <c r="H173" s="7" t="str">
        <f>CONCATENATE("14240465642")</f>
        <v>14240465642</v>
      </c>
      <c r="I173" s="7" t="s">
        <v>29</v>
      </c>
      <c r="J173" s="7" t="s">
        <v>30</v>
      </c>
      <c r="K173" s="7" t="str">
        <f>CONCATENATE("")</f>
        <v/>
      </c>
      <c r="L173" s="7" t="str">
        <f>CONCATENATE("10 10.1 4a")</f>
        <v>10 10.1 4a</v>
      </c>
      <c r="M173" s="7" t="str">
        <f>CONCATENATE("SBBSLV77S69H211C")</f>
        <v>SBBSLV77S69H211C</v>
      </c>
      <c r="N173" s="7" t="s">
        <v>259</v>
      </c>
      <c r="O173" s="7"/>
      <c r="P173" s="8">
        <v>44522</v>
      </c>
      <c r="Q173" s="7" t="s">
        <v>31</v>
      </c>
      <c r="R173" s="7" t="s">
        <v>32</v>
      </c>
      <c r="S173" s="7" t="s">
        <v>33</v>
      </c>
      <c r="T173" s="7"/>
      <c r="U173" s="7" t="s">
        <v>34</v>
      </c>
      <c r="V173" s="7">
        <v>300.93</v>
      </c>
      <c r="W173" s="7">
        <v>129.76</v>
      </c>
      <c r="X173" s="7">
        <v>119.83</v>
      </c>
      <c r="Y173" s="7">
        <v>0</v>
      </c>
      <c r="Z173" s="7">
        <v>51.34</v>
      </c>
    </row>
    <row r="174" spans="1:26" x14ac:dyDescent="0.35">
      <c r="A174" s="7" t="s">
        <v>27</v>
      </c>
      <c r="B174" s="7" t="s">
        <v>28</v>
      </c>
      <c r="C174" s="7" t="s">
        <v>54</v>
      </c>
      <c r="D174" s="7" t="s">
        <v>139</v>
      </c>
      <c r="E174" s="7" t="s">
        <v>35</v>
      </c>
      <c r="F174" s="7" t="s">
        <v>158</v>
      </c>
      <c r="G174" s="7">
        <v>2021</v>
      </c>
      <c r="H174" s="7" t="str">
        <f>CONCATENATE("14240647918")</f>
        <v>14240647918</v>
      </c>
      <c r="I174" s="7" t="s">
        <v>29</v>
      </c>
      <c r="J174" s="7" t="s">
        <v>30</v>
      </c>
      <c r="K174" s="7" t="str">
        <f>CONCATENATE("")</f>
        <v/>
      </c>
      <c r="L174" s="7" t="str">
        <f>CONCATENATE("10 10.1 4a")</f>
        <v>10 10.1 4a</v>
      </c>
      <c r="M174" s="7" t="str">
        <f>CONCATENATE("FRRMRA38B46G436V")</f>
        <v>FRRMRA38B46G436V</v>
      </c>
      <c r="N174" s="7" t="s">
        <v>260</v>
      </c>
      <c r="O174" s="7"/>
      <c r="P174" s="8">
        <v>44522</v>
      </c>
      <c r="Q174" s="7" t="s">
        <v>31</v>
      </c>
      <c r="R174" s="7" t="s">
        <v>32</v>
      </c>
      <c r="S174" s="7" t="s">
        <v>33</v>
      </c>
      <c r="T174" s="7"/>
      <c r="U174" s="7" t="s">
        <v>34</v>
      </c>
      <c r="V174" s="9">
        <v>1356.87</v>
      </c>
      <c r="W174" s="7">
        <v>585.08000000000004</v>
      </c>
      <c r="X174" s="7">
        <v>540.30999999999995</v>
      </c>
      <c r="Y174" s="7">
        <v>0</v>
      </c>
      <c r="Z174" s="7">
        <v>231.48</v>
      </c>
    </row>
    <row r="175" spans="1:26" x14ac:dyDescent="0.35">
      <c r="A175" s="7" t="s">
        <v>27</v>
      </c>
      <c r="B175" s="7" t="s">
        <v>28</v>
      </c>
      <c r="C175" s="7" t="s">
        <v>54</v>
      </c>
      <c r="D175" s="7" t="s">
        <v>118</v>
      </c>
      <c r="E175" s="7" t="s">
        <v>38</v>
      </c>
      <c r="F175" s="7" t="s">
        <v>144</v>
      </c>
      <c r="G175" s="7">
        <v>2021</v>
      </c>
      <c r="H175" s="7" t="str">
        <f>CONCATENATE("14240497900")</f>
        <v>14240497900</v>
      </c>
      <c r="I175" s="7" t="s">
        <v>29</v>
      </c>
      <c r="J175" s="7" t="s">
        <v>30</v>
      </c>
      <c r="K175" s="7" t="str">
        <f>CONCATENATE("")</f>
        <v/>
      </c>
      <c r="L175" s="7" t="str">
        <f>CONCATENATE("10 10.1 4a")</f>
        <v>10 10.1 4a</v>
      </c>
      <c r="M175" s="7" t="str">
        <f>CONCATENATE("GNTGPP55P25B636G")</f>
        <v>GNTGPP55P25B636G</v>
      </c>
      <c r="N175" s="7" t="s">
        <v>261</v>
      </c>
      <c r="O175" s="7"/>
      <c r="P175" s="8">
        <v>44522</v>
      </c>
      <c r="Q175" s="7" t="s">
        <v>31</v>
      </c>
      <c r="R175" s="7" t="s">
        <v>32</v>
      </c>
      <c r="S175" s="7" t="s">
        <v>33</v>
      </c>
      <c r="T175" s="7"/>
      <c r="U175" s="7" t="s">
        <v>34</v>
      </c>
      <c r="V175" s="9">
        <v>3400</v>
      </c>
      <c r="W175" s="9">
        <v>1466.08</v>
      </c>
      <c r="X175" s="9">
        <v>1353.88</v>
      </c>
      <c r="Y175" s="7">
        <v>0</v>
      </c>
      <c r="Z175" s="7">
        <v>580.04</v>
      </c>
    </row>
    <row r="176" spans="1:26" x14ac:dyDescent="0.35">
      <c r="A176" s="7" t="s">
        <v>27</v>
      </c>
      <c r="B176" s="7" t="s">
        <v>28</v>
      </c>
      <c r="C176" s="7" t="s">
        <v>54</v>
      </c>
      <c r="D176" s="7" t="s">
        <v>55</v>
      </c>
      <c r="E176" s="7" t="s">
        <v>38</v>
      </c>
      <c r="F176" s="7" t="s">
        <v>262</v>
      </c>
      <c r="G176" s="7">
        <v>2021</v>
      </c>
      <c r="H176" s="7" t="str">
        <f>CONCATENATE("14240480930")</f>
        <v>14240480930</v>
      </c>
      <c r="I176" s="7" t="s">
        <v>29</v>
      </c>
      <c r="J176" s="7" t="s">
        <v>30</v>
      </c>
      <c r="K176" s="7" t="str">
        <f>CONCATENATE("")</f>
        <v/>
      </c>
      <c r="L176" s="7" t="str">
        <f>CONCATENATE("10 10.1 4a")</f>
        <v>10 10.1 4a</v>
      </c>
      <c r="M176" s="7" t="str">
        <f>CONCATENATE("DCRTZN85L13D542D")</f>
        <v>DCRTZN85L13D542D</v>
      </c>
      <c r="N176" s="7" t="s">
        <v>263</v>
      </c>
      <c r="O176" s="7"/>
      <c r="P176" s="8">
        <v>44522</v>
      </c>
      <c r="Q176" s="7" t="s">
        <v>31</v>
      </c>
      <c r="R176" s="7" t="s">
        <v>32</v>
      </c>
      <c r="S176" s="7" t="s">
        <v>33</v>
      </c>
      <c r="T176" s="7"/>
      <c r="U176" s="7" t="s">
        <v>34</v>
      </c>
      <c r="V176" s="9">
        <v>1293.8</v>
      </c>
      <c r="W176" s="7">
        <v>557.89</v>
      </c>
      <c r="X176" s="7">
        <v>515.19000000000005</v>
      </c>
      <c r="Y176" s="7">
        <v>0</v>
      </c>
      <c r="Z176" s="7">
        <v>220.72</v>
      </c>
    </row>
    <row r="177" spans="1:26" x14ac:dyDescent="0.35">
      <c r="A177" s="7" t="s">
        <v>27</v>
      </c>
      <c r="B177" s="7" t="s">
        <v>28</v>
      </c>
      <c r="C177" s="7" t="s">
        <v>54</v>
      </c>
      <c r="D177" s="7" t="s">
        <v>122</v>
      </c>
      <c r="E177" s="7" t="s">
        <v>38</v>
      </c>
      <c r="F177" s="7" t="s">
        <v>135</v>
      </c>
      <c r="G177" s="7">
        <v>2021</v>
      </c>
      <c r="H177" s="7" t="str">
        <f>CONCATENATE("14240511569")</f>
        <v>14240511569</v>
      </c>
      <c r="I177" s="7" t="s">
        <v>29</v>
      </c>
      <c r="J177" s="7" t="s">
        <v>30</v>
      </c>
      <c r="K177" s="7" t="str">
        <f>CONCATENATE("")</f>
        <v/>
      </c>
      <c r="L177" s="7" t="str">
        <f>CONCATENATE("10 10.1 4a")</f>
        <v>10 10.1 4a</v>
      </c>
      <c r="M177" s="7" t="str">
        <f>CONCATENATE("PSRCLR52E58E388I")</f>
        <v>PSRCLR52E58E388I</v>
      </c>
      <c r="N177" s="7" t="s">
        <v>264</v>
      </c>
      <c r="O177" s="7"/>
      <c r="P177" s="8">
        <v>44522</v>
      </c>
      <c r="Q177" s="7" t="s">
        <v>31</v>
      </c>
      <c r="R177" s="7" t="s">
        <v>32</v>
      </c>
      <c r="S177" s="7" t="s">
        <v>33</v>
      </c>
      <c r="T177" s="7"/>
      <c r="U177" s="7" t="s">
        <v>34</v>
      </c>
      <c r="V177" s="7">
        <v>109.62</v>
      </c>
      <c r="W177" s="7">
        <v>47.27</v>
      </c>
      <c r="X177" s="7">
        <v>43.65</v>
      </c>
      <c r="Y177" s="7">
        <v>0</v>
      </c>
      <c r="Z177" s="7">
        <v>18.7</v>
      </c>
    </row>
    <row r="178" spans="1:26" x14ac:dyDescent="0.35">
      <c r="A178" s="7" t="s">
        <v>27</v>
      </c>
      <c r="B178" s="7" t="s">
        <v>28</v>
      </c>
      <c r="C178" s="7" t="s">
        <v>54</v>
      </c>
      <c r="D178" s="7" t="s">
        <v>139</v>
      </c>
      <c r="E178" s="7" t="s">
        <v>38</v>
      </c>
      <c r="F178" s="7" t="s">
        <v>135</v>
      </c>
      <c r="G178" s="7">
        <v>2021</v>
      </c>
      <c r="H178" s="7" t="str">
        <f>CONCATENATE("14240522186")</f>
        <v>14240522186</v>
      </c>
      <c r="I178" s="7" t="s">
        <v>29</v>
      </c>
      <c r="J178" s="7" t="s">
        <v>30</v>
      </c>
      <c r="K178" s="7" t="str">
        <f>CONCATENATE("")</f>
        <v/>
      </c>
      <c r="L178" s="7" t="str">
        <f>CONCATENATE("10 10.1 4a")</f>
        <v>10 10.1 4a</v>
      </c>
      <c r="M178" s="7" t="str">
        <f>CONCATENATE("VLPVNN74R12E783T")</f>
        <v>VLPVNN74R12E783T</v>
      </c>
      <c r="N178" s="7" t="s">
        <v>265</v>
      </c>
      <c r="O178" s="7"/>
      <c r="P178" s="8">
        <v>44522</v>
      </c>
      <c r="Q178" s="7" t="s">
        <v>31</v>
      </c>
      <c r="R178" s="7" t="s">
        <v>32</v>
      </c>
      <c r="S178" s="7" t="s">
        <v>33</v>
      </c>
      <c r="T178" s="7"/>
      <c r="U178" s="7" t="s">
        <v>34</v>
      </c>
      <c r="V178" s="7">
        <v>603.91</v>
      </c>
      <c r="W178" s="7">
        <v>260.41000000000003</v>
      </c>
      <c r="X178" s="7">
        <v>240.48</v>
      </c>
      <c r="Y178" s="7">
        <v>0</v>
      </c>
      <c r="Z178" s="7">
        <v>103.02</v>
      </c>
    </row>
    <row r="179" spans="1:26" x14ac:dyDescent="0.35">
      <c r="A179" s="7" t="s">
        <v>27</v>
      </c>
      <c r="B179" s="7" t="s">
        <v>28</v>
      </c>
      <c r="C179" s="7" t="s">
        <v>54</v>
      </c>
      <c r="D179" s="7" t="s">
        <v>139</v>
      </c>
      <c r="E179" s="7" t="s">
        <v>36</v>
      </c>
      <c r="F179" s="7" t="s">
        <v>167</v>
      </c>
      <c r="G179" s="7">
        <v>2021</v>
      </c>
      <c r="H179" s="7" t="str">
        <f>CONCATENATE("14240528498")</f>
        <v>14240528498</v>
      </c>
      <c r="I179" s="7" t="s">
        <v>29</v>
      </c>
      <c r="J179" s="7" t="s">
        <v>30</v>
      </c>
      <c r="K179" s="7" t="str">
        <f>CONCATENATE("")</f>
        <v/>
      </c>
      <c r="L179" s="7" t="str">
        <f>CONCATENATE("10 10.1 4a")</f>
        <v>10 10.1 4a</v>
      </c>
      <c r="M179" s="7" t="str">
        <f>CONCATENATE("CRCLRT81H18L191M")</f>
        <v>CRCLRT81H18L191M</v>
      </c>
      <c r="N179" s="7" t="s">
        <v>266</v>
      </c>
      <c r="O179" s="7"/>
      <c r="P179" s="8">
        <v>44522</v>
      </c>
      <c r="Q179" s="7" t="s">
        <v>31</v>
      </c>
      <c r="R179" s="7" t="s">
        <v>32</v>
      </c>
      <c r="S179" s="7" t="s">
        <v>33</v>
      </c>
      <c r="T179" s="7"/>
      <c r="U179" s="7" t="s">
        <v>34</v>
      </c>
      <c r="V179" s="9">
        <v>3645.62</v>
      </c>
      <c r="W179" s="9">
        <v>1571.99</v>
      </c>
      <c r="X179" s="9">
        <v>1451.69</v>
      </c>
      <c r="Y179" s="7">
        <v>0</v>
      </c>
      <c r="Z179" s="7">
        <v>621.94000000000005</v>
      </c>
    </row>
    <row r="180" spans="1:26" x14ac:dyDescent="0.35">
      <c r="A180" s="7" t="s">
        <v>27</v>
      </c>
      <c r="B180" s="7" t="s">
        <v>28</v>
      </c>
      <c r="C180" s="7" t="s">
        <v>54</v>
      </c>
      <c r="D180" s="7" t="s">
        <v>122</v>
      </c>
      <c r="E180" s="7" t="s">
        <v>38</v>
      </c>
      <c r="F180" s="7" t="s">
        <v>135</v>
      </c>
      <c r="G180" s="7">
        <v>2021</v>
      </c>
      <c r="H180" s="7" t="str">
        <f>CONCATENATE("14240686981")</f>
        <v>14240686981</v>
      </c>
      <c r="I180" s="7" t="s">
        <v>29</v>
      </c>
      <c r="J180" s="7" t="s">
        <v>30</v>
      </c>
      <c r="K180" s="7" t="str">
        <f>CONCATENATE("")</f>
        <v/>
      </c>
      <c r="L180" s="7" t="str">
        <f>CONCATENATE("10 10.1 4a")</f>
        <v>10 10.1 4a</v>
      </c>
      <c r="M180" s="7" t="str">
        <f>CONCATENATE("GRCLCU62L09G157N")</f>
        <v>GRCLCU62L09G157N</v>
      </c>
      <c r="N180" s="7" t="s">
        <v>267</v>
      </c>
      <c r="O180" s="7"/>
      <c r="P180" s="8">
        <v>44522</v>
      </c>
      <c r="Q180" s="7" t="s">
        <v>31</v>
      </c>
      <c r="R180" s="7" t="s">
        <v>32</v>
      </c>
      <c r="S180" s="7" t="s">
        <v>33</v>
      </c>
      <c r="T180" s="7"/>
      <c r="U180" s="7" t="s">
        <v>34</v>
      </c>
      <c r="V180" s="7">
        <v>147.59</v>
      </c>
      <c r="W180" s="7">
        <v>63.64</v>
      </c>
      <c r="X180" s="7">
        <v>58.77</v>
      </c>
      <c r="Y180" s="7">
        <v>0</v>
      </c>
      <c r="Z180" s="7">
        <v>25.18</v>
      </c>
    </row>
    <row r="181" spans="1:26" x14ac:dyDescent="0.35">
      <c r="A181" s="7" t="s">
        <v>27</v>
      </c>
      <c r="B181" s="7" t="s">
        <v>28</v>
      </c>
      <c r="C181" s="7" t="s">
        <v>54</v>
      </c>
      <c r="D181" s="7" t="s">
        <v>122</v>
      </c>
      <c r="E181" s="7" t="s">
        <v>36</v>
      </c>
      <c r="F181" s="7" t="s">
        <v>220</v>
      </c>
      <c r="G181" s="7">
        <v>2021</v>
      </c>
      <c r="H181" s="7" t="str">
        <f>CONCATENATE("14240548868")</f>
        <v>14240548868</v>
      </c>
      <c r="I181" s="7" t="s">
        <v>29</v>
      </c>
      <c r="J181" s="7" t="s">
        <v>30</v>
      </c>
      <c r="K181" s="7" t="str">
        <f>CONCATENATE("")</f>
        <v/>
      </c>
      <c r="L181" s="7" t="str">
        <f>CONCATENATE("10 10.1 4a")</f>
        <v>10 10.1 4a</v>
      </c>
      <c r="M181" s="7" t="str">
        <f>CONCATENATE("MRNPLA75P30H211M")</f>
        <v>MRNPLA75P30H211M</v>
      </c>
      <c r="N181" s="7" t="s">
        <v>221</v>
      </c>
      <c r="O181" s="7"/>
      <c r="P181" s="8">
        <v>44522</v>
      </c>
      <c r="Q181" s="7" t="s">
        <v>31</v>
      </c>
      <c r="R181" s="7" t="s">
        <v>32</v>
      </c>
      <c r="S181" s="7" t="s">
        <v>33</v>
      </c>
      <c r="T181" s="7"/>
      <c r="U181" s="7" t="s">
        <v>34</v>
      </c>
      <c r="V181" s="9">
        <v>4539</v>
      </c>
      <c r="W181" s="9">
        <v>1957.22</v>
      </c>
      <c r="X181" s="9">
        <v>1807.43</v>
      </c>
      <c r="Y181" s="7">
        <v>0</v>
      </c>
      <c r="Z181" s="7">
        <v>774.35</v>
      </c>
    </row>
    <row r="182" spans="1:26" x14ac:dyDescent="0.35">
      <c r="A182" s="7" t="s">
        <v>27</v>
      </c>
      <c r="B182" s="7" t="s">
        <v>28</v>
      </c>
      <c r="C182" s="7" t="s">
        <v>54</v>
      </c>
      <c r="D182" s="7" t="s">
        <v>55</v>
      </c>
      <c r="E182" s="7" t="s">
        <v>38</v>
      </c>
      <c r="F182" s="7" t="s">
        <v>83</v>
      </c>
      <c r="G182" s="7">
        <v>2021</v>
      </c>
      <c r="H182" s="7" t="str">
        <f>CONCATENATE("14240575846")</f>
        <v>14240575846</v>
      </c>
      <c r="I182" s="7" t="s">
        <v>29</v>
      </c>
      <c r="J182" s="7" t="s">
        <v>30</v>
      </c>
      <c r="K182" s="7" t="str">
        <f>CONCATENATE("")</f>
        <v/>
      </c>
      <c r="L182" s="7" t="str">
        <f>CONCATENATE("10 10.1 4a")</f>
        <v>10 10.1 4a</v>
      </c>
      <c r="M182" s="7" t="str">
        <f>CONCATENATE("GDESRG75A23A462H")</f>
        <v>GDESRG75A23A462H</v>
      </c>
      <c r="N182" s="7" t="s">
        <v>268</v>
      </c>
      <c r="O182" s="7"/>
      <c r="P182" s="8">
        <v>44522</v>
      </c>
      <c r="Q182" s="7" t="s">
        <v>31</v>
      </c>
      <c r="R182" s="7" t="s">
        <v>32</v>
      </c>
      <c r="S182" s="7" t="s">
        <v>33</v>
      </c>
      <c r="T182" s="7"/>
      <c r="U182" s="7" t="s">
        <v>34</v>
      </c>
      <c r="V182" s="9">
        <v>5508</v>
      </c>
      <c r="W182" s="9">
        <v>2375.0500000000002</v>
      </c>
      <c r="X182" s="9">
        <v>2193.29</v>
      </c>
      <c r="Y182" s="7">
        <v>0</v>
      </c>
      <c r="Z182" s="7">
        <v>939.66</v>
      </c>
    </row>
    <row r="183" spans="1:26" ht="17.5" x14ac:dyDescent="0.35">
      <c r="A183" s="7" t="s">
        <v>27</v>
      </c>
      <c r="B183" s="7" t="s">
        <v>28</v>
      </c>
      <c r="C183" s="7" t="s">
        <v>54</v>
      </c>
      <c r="D183" s="7" t="s">
        <v>122</v>
      </c>
      <c r="E183" s="7" t="s">
        <v>38</v>
      </c>
      <c r="F183" s="7" t="s">
        <v>135</v>
      </c>
      <c r="G183" s="7">
        <v>2021</v>
      </c>
      <c r="H183" s="7" t="str">
        <f>CONCATENATE("14240988064")</f>
        <v>14240988064</v>
      </c>
      <c r="I183" s="7" t="s">
        <v>29</v>
      </c>
      <c r="J183" s="7" t="s">
        <v>30</v>
      </c>
      <c r="K183" s="7" t="str">
        <f>CONCATENATE("")</f>
        <v/>
      </c>
      <c r="L183" s="7" t="str">
        <f>CONCATENATE("10 10.1 4a")</f>
        <v>10 10.1 4a</v>
      </c>
      <c r="M183" s="7" t="str">
        <f>CONCATENATE("02707530420")</f>
        <v>02707530420</v>
      </c>
      <c r="N183" s="7" t="s">
        <v>269</v>
      </c>
      <c r="O183" s="7"/>
      <c r="P183" s="8">
        <v>44522</v>
      </c>
      <c r="Q183" s="7" t="s">
        <v>31</v>
      </c>
      <c r="R183" s="7" t="s">
        <v>32</v>
      </c>
      <c r="S183" s="7" t="s">
        <v>33</v>
      </c>
      <c r="T183" s="7"/>
      <c r="U183" s="7" t="s">
        <v>34</v>
      </c>
      <c r="V183" s="7">
        <v>733.64</v>
      </c>
      <c r="W183" s="7">
        <v>316.35000000000002</v>
      </c>
      <c r="X183" s="7">
        <v>292.14</v>
      </c>
      <c r="Y183" s="7">
        <v>0</v>
      </c>
      <c r="Z183" s="7">
        <v>125.15</v>
      </c>
    </row>
    <row r="184" spans="1:26" x14ac:dyDescent="0.35">
      <c r="A184" s="7" t="s">
        <v>27</v>
      </c>
      <c r="B184" s="7" t="s">
        <v>28</v>
      </c>
      <c r="C184" s="7" t="s">
        <v>54</v>
      </c>
      <c r="D184" s="7" t="s">
        <v>139</v>
      </c>
      <c r="E184" s="7" t="s">
        <v>37</v>
      </c>
      <c r="F184" s="7" t="s">
        <v>53</v>
      </c>
      <c r="G184" s="7">
        <v>2021</v>
      </c>
      <c r="H184" s="7" t="str">
        <f>CONCATENATE("14240619800")</f>
        <v>14240619800</v>
      </c>
      <c r="I184" s="7" t="s">
        <v>29</v>
      </c>
      <c r="J184" s="7" t="s">
        <v>30</v>
      </c>
      <c r="K184" s="7" t="str">
        <f>CONCATENATE("")</f>
        <v/>
      </c>
      <c r="L184" s="7" t="str">
        <f>CONCATENATE("10 10.1 4a")</f>
        <v>10 10.1 4a</v>
      </c>
      <c r="M184" s="7" t="str">
        <f>CONCATENATE("PLZGNN59L55A334J")</f>
        <v>PLZGNN59L55A334J</v>
      </c>
      <c r="N184" s="7" t="s">
        <v>270</v>
      </c>
      <c r="O184" s="7"/>
      <c r="P184" s="8">
        <v>44522</v>
      </c>
      <c r="Q184" s="7" t="s">
        <v>31</v>
      </c>
      <c r="R184" s="7" t="s">
        <v>32</v>
      </c>
      <c r="S184" s="7" t="s">
        <v>33</v>
      </c>
      <c r="T184" s="7"/>
      <c r="U184" s="7" t="s">
        <v>34</v>
      </c>
      <c r="V184" s="7">
        <v>836.26</v>
      </c>
      <c r="W184" s="7">
        <v>360.6</v>
      </c>
      <c r="X184" s="7">
        <v>333</v>
      </c>
      <c r="Y184" s="7">
        <v>0</v>
      </c>
      <c r="Z184" s="7">
        <v>142.66</v>
      </c>
    </row>
    <row r="185" spans="1:26" x14ac:dyDescent="0.35">
      <c r="A185" s="7" t="s">
        <v>27</v>
      </c>
      <c r="B185" s="7" t="s">
        <v>28</v>
      </c>
      <c r="C185" s="7" t="s">
        <v>54</v>
      </c>
      <c r="D185" s="7" t="s">
        <v>122</v>
      </c>
      <c r="E185" s="7" t="s">
        <v>38</v>
      </c>
      <c r="F185" s="7" t="s">
        <v>135</v>
      </c>
      <c r="G185" s="7">
        <v>2021</v>
      </c>
      <c r="H185" s="7" t="str">
        <f>CONCATENATE("14241239186")</f>
        <v>14241239186</v>
      </c>
      <c r="I185" s="7" t="s">
        <v>29</v>
      </c>
      <c r="J185" s="7" t="s">
        <v>30</v>
      </c>
      <c r="K185" s="7" t="str">
        <f>CONCATENATE("")</f>
        <v/>
      </c>
      <c r="L185" s="7" t="str">
        <f>CONCATENATE("10 10.1 4a")</f>
        <v>10 10.1 4a</v>
      </c>
      <c r="M185" s="7" t="str">
        <f>CONCATENATE("BNCMCL71S28H501N")</f>
        <v>BNCMCL71S28H501N</v>
      </c>
      <c r="N185" s="7" t="s">
        <v>271</v>
      </c>
      <c r="O185" s="7"/>
      <c r="P185" s="8">
        <v>44522</v>
      </c>
      <c r="Q185" s="7" t="s">
        <v>31</v>
      </c>
      <c r="R185" s="7" t="s">
        <v>32</v>
      </c>
      <c r="S185" s="7" t="s">
        <v>33</v>
      </c>
      <c r="T185" s="7"/>
      <c r="U185" s="7" t="s">
        <v>34</v>
      </c>
      <c r="V185" s="9">
        <v>1316.11</v>
      </c>
      <c r="W185" s="7">
        <v>567.51</v>
      </c>
      <c r="X185" s="7">
        <v>524.08000000000004</v>
      </c>
      <c r="Y185" s="7">
        <v>0</v>
      </c>
      <c r="Z185" s="7">
        <v>224.52</v>
      </c>
    </row>
    <row r="186" spans="1:26" x14ac:dyDescent="0.35">
      <c r="A186" s="7" t="s">
        <v>27</v>
      </c>
      <c r="B186" s="7" t="s">
        <v>28</v>
      </c>
      <c r="C186" s="7" t="s">
        <v>54</v>
      </c>
      <c r="D186" s="7" t="s">
        <v>122</v>
      </c>
      <c r="E186" s="7" t="s">
        <v>36</v>
      </c>
      <c r="F186" s="7" t="s">
        <v>272</v>
      </c>
      <c r="G186" s="7">
        <v>2021</v>
      </c>
      <c r="H186" s="7" t="str">
        <f>CONCATENATE("14240793027")</f>
        <v>14240793027</v>
      </c>
      <c r="I186" s="7" t="s">
        <v>29</v>
      </c>
      <c r="J186" s="7" t="s">
        <v>30</v>
      </c>
      <c r="K186" s="7" t="str">
        <f>CONCATENATE("")</f>
        <v/>
      </c>
      <c r="L186" s="7" t="str">
        <f>CONCATENATE("10 10.1 4a")</f>
        <v>10 10.1 4a</v>
      </c>
      <c r="M186" s="7" t="str">
        <f>CONCATENATE("BNGFNC75M01A271D")</f>
        <v>BNGFNC75M01A271D</v>
      </c>
      <c r="N186" s="7" t="s">
        <v>273</v>
      </c>
      <c r="O186" s="7"/>
      <c r="P186" s="8">
        <v>44522</v>
      </c>
      <c r="Q186" s="7" t="s">
        <v>31</v>
      </c>
      <c r="R186" s="7" t="s">
        <v>32</v>
      </c>
      <c r="S186" s="7" t="s">
        <v>33</v>
      </c>
      <c r="T186" s="7"/>
      <c r="U186" s="7" t="s">
        <v>34</v>
      </c>
      <c r="V186" s="9">
        <v>1202.78</v>
      </c>
      <c r="W186" s="7">
        <v>518.64</v>
      </c>
      <c r="X186" s="7">
        <v>478.95</v>
      </c>
      <c r="Y186" s="7">
        <v>0</v>
      </c>
      <c r="Z186" s="7">
        <v>205.19</v>
      </c>
    </row>
    <row r="187" spans="1:26" x14ac:dyDescent="0.35">
      <c r="A187" s="7" t="s">
        <v>27</v>
      </c>
      <c r="B187" s="7" t="s">
        <v>28</v>
      </c>
      <c r="C187" s="7" t="s">
        <v>54</v>
      </c>
      <c r="D187" s="7" t="s">
        <v>122</v>
      </c>
      <c r="E187" s="7" t="s">
        <v>38</v>
      </c>
      <c r="F187" s="7" t="s">
        <v>135</v>
      </c>
      <c r="G187" s="7">
        <v>2021</v>
      </c>
      <c r="H187" s="7" t="str">
        <f>CONCATENATE("14240664392")</f>
        <v>14240664392</v>
      </c>
      <c r="I187" s="7" t="s">
        <v>29</v>
      </c>
      <c r="J187" s="7" t="s">
        <v>30</v>
      </c>
      <c r="K187" s="7" t="str">
        <f>CONCATENATE("")</f>
        <v/>
      </c>
      <c r="L187" s="7" t="str">
        <f>CONCATENATE("10 10.1 4a")</f>
        <v>10 10.1 4a</v>
      </c>
      <c r="M187" s="7" t="str">
        <f>CONCATENATE("FRTLRT54E03C248P")</f>
        <v>FRTLRT54E03C248P</v>
      </c>
      <c r="N187" s="7" t="s">
        <v>274</v>
      </c>
      <c r="O187" s="7"/>
      <c r="P187" s="8">
        <v>44522</v>
      </c>
      <c r="Q187" s="7" t="s">
        <v>31</v>
      </c>
      <c r="R187" s="7" t="s">
        <v>32</v>
      </c>
      <c r="S187" s="7" t="s">
        <v>33</v>
      </c>
      <c r="T187" s="7"/>
      <c r="U187" s="7" t="s">
        <v>34</v>
      </c>
      <c r="V187" s="7">
        <v>405.48</v>
      </c>
      <c r="W187" s="7">
        <v>174.84</v>
      </c>
      <c r="X187" s="7">
        <v>161.46</v>
      </c>
      <c r="Y187" s="7">
        <v>0</v>
      </c>
      <c r="Z187" s="7">
        <v>69.180000000000007</v>
      </c>
    </row>
    <row r="188" spans="1:26" x14ac:dyDescent="0.35">
      <c r="A188" s="7" t="s">
        <v>27</v>
      </c>
      <c r="B188" s="7" t="s">
        <v>28</v>
      </c>
      <c r="C188" s="7" t="s">
        <v>54</v>
      </c>
      <c r="D188" s="7" t="s">
        <v>122</v>
      </c>
      <c r="E188" s="7" t="s">
        <v>36</v>
      </c>
      <c r="F188" s="7" t="s">
        <v>272</v>
      </c>
      <c r="G188" s="7">
        <v>2021</v>
      </c>
      <c r="H188" s="7" t="str">
        <f>CONCATENATE("14240676701")</f>
        <v>14240676701</v>
      </c>
      <c r="I188" s="7" t="s">
        <v>29</v>
      </c>
      <c r="J188" s="7" t="s">
        <v>30</v>
      </c>
      <c r="K188" s="7" t="str">
        <f>CONCATENATE("")</f>
        <v/>
      </c>
      <c r="L188" s="7" t="str">
        <f>CONCATENATE("10 10.1 4a")</f>
        <v>10 10.1 4a</v>
      </c>
      <c r="M188" s="7" t="str">
        <f>CONCATENATE("02418590424")</f>
        <v>02418590424</v>
      </c>
      <c r="N188" s="7" t="s">
        <v>275</v>
      </c>
      <c r="O188" s="7"/>
      <c r="P188" s="8">
        <v>44522</v>
      </c>
      <c r="Q188" s="7" t="s">
        <v>31</v>
      </c>
      <c r="R188" s="7" t="s">
        <v>32</v>
      </c>
      <c r="S188" s="7" t="s">
        <v>33</v>
      </c>
      <c r="T188" s="7"/>
      <c r="U188" s="7" t="s">
        <v>34</v>
      </c>
      <c r="V188" s="7">
        <v>594.59</v>
      </c>
      <c r="W188" s="7">
        <v>256.39</v>
      </c>
      <c r="X188" s="7">
        <v>236.77</v>
      </c>
      <c r="Y188" s="7">
        <v>0</v>
      </c>
      <c r="Z188" s="7">
        <v>101.43</v>
      </c>
    </row>
    <row r="189" spans="1:26" ht="17.5" x14ac:dyDescent="0.35">
      <c r="A189" s="7" t="s">
        <v>27</v>
      </c>
      <c r="B189" s="7" t="s">
        <v>28</v>
      </c>
      <c r="C189" s="7" t="s">
        <v>54</v>
      </c>
      <c r="D189" s="7" t="s">
        <v>55</v>
      </c>
      <c r="E189" s="7" t="s">
        <v>38</v>
      </c>
      <c r="F189" s="7" t="s">
        <v>262</v>
      </c>
      <c r="G189" s="7">
        <v>2021</v>
      </c>
      <c r="H189" s="7" t="str">
        <f>CONCATENATE("14240778325")</f>
        <v>14240778325</v>
      </c>
      <c r="I189" s="7" t="s">
        <v>29</v>
      </c>
      <c r="J189" s="7" t="s">
        <v>30</v>
      </c>
      <c r="K189" s="7" t="str">
        <f>CONCATENATE("")</f>
        <v/>
      </c>
      <c r="L189" s="7" t="str">
        <f>CONCATENATE("10 10.1 4a")</f>
        <v>10 10.1 4a</v>
      </c>
      <c r="M189" s="7" t="str">
        <f>CONCATENATE("02164470441")</f>
        <v>02164470441</v>
      </c>
      <c r="N189" s="7" t="s">
        <v>276</v>
      </c>
      <c r="O189" s="7"/>
      <c r="P189" s="8">
        <v>44522</v>
      </c>
      <c r="Q189" s="7" t="s">
        <v>31</v>
      </c>
      <c r="R189" s="7" t="s">
        <v>32</v>
      </c>
      <c r="S189" s="7" t="s">
        <v>33</v>
      </c>
      <c r="T189" s="7"/>
      <c r="U189" s="7" t="s">
        <v>34</v>
      </c>
      <c r="V189" s="9">
        <v>3510.13</v>
      </c>
      <c r="W189" s="9">
        <v>1513.57</v>
      </c>
      <c r="X189" s="9">
        <v>1397.73</v>
      </c>
      <c r="Y189" s="7">
        <v>0</v>
      </c>
      <c r="Z189" s="7">
        <v>598.83000000000004</v>
      </c>
    </row>
    <row r="190" spans="1:26" x14ac:dyDescent="0.35">
      <c r="A190" s="7" t="s">
        <v>27</v>
      </c>
      <c r="B190" s="7" t="s">
        <v>28</v>
      </c>
      <c r="C190" s="7" t="s">
        <v>54</v>
      </c>
      <c r="D190" s="7" t="s">
        <v>118</v>
      </c>
      <c r="E190" s="7" t="s">
        <v>36</v>
      </c>
      <c r="F190" s="7" t="s">
        <v>133</v>
      </c>
      <c r="G190" s="7">
        <v>2021</v>
      </c>
      <c r="H190" s="7" t="str">
        <f>CONCATENATE("14240781980")</f>
        <v>14240781980</v>
      </c>
      <c r="I190" s="7" t="s">
        <v>29</v>
      </c>
      <c r="J190" s="7" t="s">
        <v>30</v>
      </c>
      <c r="K190" s="7" t="str">
        <f>CONCATENATE("")</f>
        <v/>
      </c>
      <c r="L190" s="7" t="str">
        <f>CONCATENATE("10 10.1 4a")</f>
        <v>10 10.1 4a</v>
      </c>
      <c r="M190" s="7" t="str">
        <f>CONCATENATE("PZZRCR69C01Z120R")</f>
        <v>PZZRCR69C01Z120R</v>
      </c>
      <c r="N190" s="7" t="s">
        <v>226</v>
      </c>
      <c r="O190" s="7"/>
      <c r="P190" s="8">
        <v>44522</v>
      </c>
      <c r="Q190" s="7" t="s">
        <v>31</v>
      </c>
      <c r="R190" s="7" t="s">
        <v>32</v>
      </c>
      <c r="S190" s="7" t="s">
        <v>33</v>
      </c>
      <c r="T190" s="7"/>
      <c r="U190" s="7" t="s">
        <v>34</v>
      </c>
      <c r="V190" s="7">
        <v>340</v>
      </c>
      <c r="W190" s="7">
        <v>146.61000000000001</v>
      </c>
      <c r="X190" s="7">
        <v>135.38999999999999</v>
      </c>
      <c r="Y190" s="7">
        <v>0</v>
      </c>
      <c r="Z190" s="7">
        <v>58</v>
      </c>
    </row>
    <row r="191" spans="1:26" x14ac:dyDescent="0.35">
      <c r="A191" s="7" t="s">
        <v>27</v>
      </c>
      <c r="B191" s="7" t="s">
        <v>28</v>
      </c>
      <c r="C191" s="7" t="s">
        <v>54</v>
      </c>
      <c r="D191" s="7" t="s">
        <v>122</v>
      </c>
      <c r="E191" s="7" t="s">
        <v>36</v>
      </c>
      <c r="F191" s="7" t="s">
        <v>137</v>
      </c>
      <c r="G191" s="7">
        <v>2021</v>
      </c>
      <c r="H191" s="7" t="str">
        <f>CONCATENATE("14240873811")</f>
        <v>14240873811</v>
      </c>
      <c r="I191" s="7" t="s">
        <v>29</v>
      </c>
      <c r="J191" s="7" t="s">
        <v>30</v>
      </c>
      <c r="K191" s="7" t="str">
        <f>CONCATENATE("")</f>
        <v/>
      </c>
      <c r="L191" s="7" t="str">
        <f>CONCATENATE("10 10.1 4a")</f>
        <v>10 10.1 4a</v>
      </c>
      <c r="M191" s="7" t="str">
        <f>CONCATENATE("CRNCST80P65E388Y")</f>
        <v>CRNCST80P65E388Y</v>
      </c>
      <c r="N191" s="7" t="s">
        <v>277</v>
      </c>
      <c r="O191" s="7"/>
      <c r="P191" s="8">
        <v>44522</v>
      </c>
      <c r="Q191" s="7" t="s">
        <v>31</v>
      </c>
      <c r="R191" s="7" t="s">
        <v>32</v>
      </c>
      <c r="S191" s="7" t="s">
        <v>33</v>
      </c>
      <c r="T191" s="7"/>
      <c r="U191" s="7" t="s">
        <v>34</v>
      </c>
      <c r="V191" s="7">
        <v>430.54</v>
      </c>
      <c r="W191" s="7">
        <v>185.65</v>
      </c>
      <c r="X191" s="7">
        <v>171.44</v>
      </c>
      <c r="Y191" s="7">
        <v>0</v>
      </c>
      <c r="Z191" s="7">
        <v>73.45</v>
      </c>
    </row>
    <row r="192" spans="1:26" ht="17.5" x14ac:dyDescent="0.35">
      <c r="A192" s="7" t="s">
        <v>27</v>
      </c>
      <c r="B192" s="7" t="s">
        <v>28</v>
      </c>
      <c r="C192" s="7" t="s">
        <v>54</v>
      </c>
      <c r="D192" s="7" t="s">
        <v>122</v>
      </c>
      <c r="E192" s="7" t="s">
        <v>38</v>
      </c>
      <c r="F192" s="7" t="s">
        <v>123</v>
      </c>
      <c r="G192" s="7">
        <v>2021</v>
      </c>
      <c r="H192" s="7" t="str">
        <f>CONCATENATE("14240889411")</f>
        <v>14240889411</v>
      </c>
      <c r="I192" s="7" t="s">
        <v>29</v>
      </c>
      <c r="J192" s="7" t="s">
        <v>30</v>
      </c>
      <c r="K192" s="7" t="str">
        <f>CONCATENATE("")</f>
        <v/>
      </c>
      <c r="L192" s="7" t="str">
        <f>CONCATENATE("10 10.1 4a")</f>
        <v>10 10.1 4a</v>
      </c>
      <c r="M192" s="7" t="str">
        <f>CONCATENATE("MRCMNO73A42D451D")</f>
        <v>MRCMNO73A42D451D</v>
      </c>
      <c r="N192" s="7" t="s">
        <v>278</v>
      </c>
      <c r="O192" s="7"/>
      <c r="P192" s="8">
        <v>44522</v>
      </c>
      <c r="Q192" s="7" t="s">
        <v>31</v>
      </c>
      <c r="R192" s="7" t="s">
        <v>32</v>
      </c>
      <c r="S192" s="7" t="s">
        <v>33</v>
      </c>
      <c r="T192" s="7"/>
      <c r="U192" s="7" t="s">
        <v>34</v>
      </c>
      <c r="V192" s="7">
        <v>111.95</v>
      </c>
      <c r="W192" s="7">
        <v>48.27</v>
      </c>
      <c r="X192" s="7">
        <v>44.58</v>
      </c>
      <c r="Y192" s="7">
        <v>0</v>
      </c>
      <c r="Z192" s="7">
        <v>19.100000000000001</v>
      </c>
    </row>
    <row r="193" spans="1:26" ht="17.5" x14ac:dyDescent="0.35">
      <c r="A193" s="7" t="s">
        <v>27</v>
      </c>
      <c r="B193" s="7" t="s">
        <v>28</v>
      </c>
      <c r="C193" s="7" t="s">
        <v>54</v>
      </c>
      <c r="D193" s="7" t="s">
        <v>122</v>
      </c>
      <c r="E193" s="7" t="s">
        <v>38</v>
      </c>
      <c r="F193" s="7" t="s">
        <v>135</v>
      </c>
      <c r="G193" s="7">
        <v>2021</v>
      </c>
      <c r="H193" s="7" t="str">
        <f>CONCATENATE("14240914573")</f>
        <v>14240914573</v>
      </c>
      <c r="I193" s="7" t="s">
        <v>29</v>
      </c>
      <c r="J193" s="7" t="s">
        <v>30</v>
      </c>
      <c r="K193" s="7" t="str">
        <f>CONCATENATE("")</f>
        <v/>
      </c>
      <c r="L193" s="7" t="str">
        <f>CONCATENATE("10 10.1 4a")</f>
        <v>10 10.1 4a</v>
      </c>
      <c r="M193" s="7" t="str">
        <f>CONCATENATE("02018110425")</f>
        <v>02018110425</v>
      </c>
      <c r="N193" s="7" t="s">
        <v>279</v>
      </c>
      <c r="O193" s="7"/>
      <c r="P193" s="8">
        <v>44522</v>
      </c>
      <c r="Q193" s="7" t="s">
        <v>31</v>
      </c>
      <c r="R193" s="7" t="s">
        <v>32</v>
      </c>
      <c r="S193" s="7" t="s">
        <v>33</v>
      </c>
      <c r="T193" s="7"/>
      <c r="U193" s="7" t="s">
        <v>34</v>
      </c>
      <c r="V193" s="7">
        <v>397.77</v>
      </c>
      <c r="W193" s="7">
        <v>171.52</v>
      </c>
      <c r="X193" s="7">
        <v>158.38999999999999</v>
      </c>
      <c r="Y193" s="7">
        <v>0</v>
      </c>
      <c r="Z193" s="7">
        <v>67.86</v>
      </c>
    </row>
    <row r="194" spans="1:26" x14ac:dyDescent="0.35">
      <c r="A194" s="7" t="s">
        <v>27</v>
      </c>
      <c r="B194" s="7" t="s">
        <v>28</v>
      </c>
      <c r="C194" s="7" t="s">
        <v>54</v>
      </c>
      <c r="D194" s="7" t="s">
        <v>139</v>
      </c>
      <c r="E194" s="7" t="s">
        <v>40</v>
      </c>
      <c r="F194" s="7" t="s">
        <v>156</v>
      </c>
      <c r="G194" s="7">
        <v>2021</v>
      </c>
      <c r="H194" s="7" t="str">
        <f>CONCATENATE("14240978081")</f>
        <v>14240978081</v>
      </c>
      <c r="I194" s="7" t="s">
        <v>29</v>
      </c>
      <c r="J194" s="7" t="s">
        <v>30</v>
      </c>
      <c r="K194" s="7" t="str">
        <f>CONCATENATE("")</f>
        <v/>
      </c>
      <c r="L194" s="7" t="str">
        <f>CONCATENATE("10 10.1 4a")</f>
        <v>10 10.1 4a</v>
      </c>
      <c r="M194" s="7" t="str">
        <f>CONCATENATE("82001310422")</f>
        <v>82001310422</v>
      </c>
      <c r="N194" s="7" t="s">
        <v>280</v>
      </c>
      <c r="O194" s="7"/>
      <c r="P194" s="8">
        <v>44522</v>
      </c>
      <c r="Q194" s="7" t="s">
        <v>31</v>
      </c>
      <c r="R194" s="7" t="s">
        <v>32</v>
      </c>
      <c r="S194" s="7" t="s">
        <v>33</v>
      </c>
      <c r="T194" s="7"/>
      <c r="U194" s="7" t="s">
        <v>34</v>
      </c>
      <c r="V194" s="9">
        <v>3615.49</v>
      </c>
      <c r="W194" s="9">
        <v>1559</v>
      </c>
      <c r="X194" s="9">
        <v>1439.69</v>
      </c>
      <c r="Y194" s="7">
        <v>0</v>
      </c>
      <c r="Z194" s="7">
        <v>616.79999999999995</v>
      </c>
    </row>
    <row r="195" spans="1:26" x14ac:dyDescent="0.35">
      <c r="A195" s="7" t="s">
        <v>27</v>
      </c>
      <c r="B195" s="7" t="s">
        <v>28</v>
      </c>
      <c r="C195" s="7" t="s">
        <v>54</v>
      </c>
      <c r="D195" s="7" t="s">
        <v>118</v>
      </c>
      <c r="E195" s="7" t="s">
        <v>38</v>
      </c>
      <c r="F195" s="7" t="s">
        <v>281</v>
      </c>
      <c r="G195" s="7">
        <v>2021</v>
      </c>
      <c r="H195" s="7" t="str">
        <f>CONCATENATE("14240991431")</f>
        <v>14240991431</v>
      </c>
      <c r="I195" s="7" t="s">
        <v>29</v>
      </c>
      <c r="J195" s="7" t="s">
        <v>30</v>
      </c>
      <c r="K195" s="7" t="str">
        <f>CONCATENATE("")</f>
        <v/>
      </c>
      <c r="L195" s="7" t="str">
        <f>CONCATENATE("10 10.1 4a")</f>
        <v>10 10.1 4a</v>
      </c>
      <c r="M195" s="7" t="str">
        <f>CONCATENATE("02620580411")</f>
        <v>02620580411</v>
      </c>
      <c r="N195" s="7" t="s">
        <v>282</v>
      </c>
      <c r="O195" s="7"/>
      <c r="P195" s="8">
        <v>44522</v>
      </c>
      <c r="Q195" s="7" t="s">
        <v>31</v>
      </c>
      <c r="R195" s="7" t="s">
        <v>32</v>
      </c>
      <c r="S195" s="7" t="s">
        <v>33</v>
      </c>
      <c r="T195" s="7"/>
      <c r="U195" s="7" t="s">
        <v>34</v>
      </c>
      <c r="V195" s="7">
        <v>170</v>
      </c>
      <c r="W195" s="7">
        <v>73.3</v>
      </c>
      <c r="X195" s="7">
        <v>67.69</v>
      </c>
      <c r="Y195" s="7">
        <v>0</v>
      </c>
      <c r="Z195" s="7">
        <v>29.01</v>
      </c>
    </row>
    <row r="196" spans="1:26" x14ac:dyDescent="0.35">
      <c r="A196" s="7" t="s">
        <v>27</v>
      </c>
      <c r="B196" s="7" t="s">
        <v>28</v>
      </c>
      <c r="C196" s="7" t="s">
        <v>54</v>
      </c>
      <c r="D196" s="7" t="s">
        <v>118</v>
      </c>
      <c r="E196" s="7" t="s">
        <v>38</v>
      </c>
      <c r="F196" s="7" t="s">
        <v>144</v>
      </c>
      <c r="G196" s="7">
        <v>2021</v>
      </c>
      <c r="H196" s="7" t="str">
        <f>CONCATENATE("14241085183")</f>
        <v>14241085183</v>
      </c>
      <c r="I196" s="7" t="s">
        <v>29</v>
      </c>
      <c r="J196" s="7" t="s">
        <v>30</v>
      </c>
      <c r="K196" s="7" t="str">
        <f>CONCATENATE("")</f>
        <v/>
      </c>
      <c r="L196" s="7" t="str">
        <f>CONCATENATE("10 10.1 4a")</f>
        <v>10 10.1 4a</v>
      </c>
      <c r="M196" s="7" t="str">
        <f>CONCATENATE("00170370415")</f>
        <v>00170370415</v>
      </c>
      <c r="N196" s="7" t="s">
        <v>283</v>
      </c>
      <c r="O196" s="7"/>
      <c r="P196" s="8">
        <v>44522</v>
      </c>
      <c r="Q196" s="7" t="s">
        <v>31</v>
      </c>
      <c r="R196" s="7" t="s">
        <v>32</v>
      </c>
      <c r="S196" s="7" t="s">
        <v>33</v>
      </c>
      <c r="T196" s="7"/>
      <c r="U196" s="7" t="s">
        <v>34</v>
      </c>
      <c r="V196" s="9">
        <v>2210</v>
      </c>
      <c r="W196" s="7">
        <v>952.95</v>
      </c>
      <c r="X196" s="7">
        <v>880.02</v>
      </c>
      <c r="Y196" s="7">
        <v>0</v>
      </c>
      <c r="Z196" s="7">
        <v>377.03</v>
      </c>
    </row>
    <row r="197" spans="1:26" x14ac:dyDescent="0.35">
      <c r="A197" s="7" t="s">
        <v>27</v>
      </c>
      <c r="B197" s="7" t="s">
        <v>28</v>
      </c>
      <c r="C197" s="7" t="s">
        <v>54</v>
      </c>
      <c r="D197" s="7" t="s">
        <v>139</v>
      </c>
      <c r="E197" s="7" t="s">
        <v>40</v>
      </c>
      <c r="F197" s="7" t="s">
        <v>193</v>
      </c>
      <c r="G197" s="7">
        <v>2021</v>
      </c>
      <c r="H197" s="7" t="str">
        <f>CONCATENATE("14241000612")</f>
        <v>14241000612</v>
      </c>
      <c r="I197" s="7" t="s">
        <v>29</v>
      </c>
      <c r="J197" s="7" t="s">
        <v>30</v>
      </c>
      <c r="K197" s="7" t="str">
        <f>CONCATENATE("")</f>
        <v/>
      </c>
      <c r="L197" s="7" t="str">
        <f>CONCATENATE("10 10.1 4a")</f>
        <v>10 10.1 4a</v>
      </c>
      <c r="M197" s="7" t="str">
        <f>CONCATENATE("MRCLNS71P11F632J")</f>
        <v>MRCLNS71P11F632J</v>
      </c>
      <c r="N197" s="7" t="s">
        <v>284</v>
      </c>
      <c r="O197" s="7"/>
      <c r="P197" s="8">
        <v>44522</v>
      </c>
      <c r="Q197" s="7" t="s">
        <v>31</v>
      </c>
      <c r="R197" s="7" t="s">
        <v>32</v>
      </c>
      <c r="S197" s="7" t="s">
        <v>33</v>
      </c>
      <c r="T197" s="7"/>
      <c r="U197" s="7" t="s">
        <v>34</v>
      </c>
      <c r="V197" s="7">
        <v>539.41</v>
      </c>
      <c r="W197" s="7">
        <v>232.59</v>
      </c>
      <c r="X197" s="7">
        <v>214.79</v>
      </c>
      <c r="Y197" s="7">
        <v>0</v>
      </c>
      <c r="Z197" s="7">
        <v>92.03</v>
      </c>
    </row>
    <row r="198" spans="1:26" x14ac:dyDescent="0.35">
      <c r="A198" s="7" t="s">
        <v>27</v>
      </c>
      <c r="B198" s="7" t="s">
        <v>28</v>
      </c>
      <c r="C198" s="7" t="s">
        <v>54</v>
      </c>
      <c r="D198" s="7" t="s">
        <v>118</v>
      </c>
      <c r="E198" s="7" t="s">
        <v>36</v>
      </c>
      <c r="F198" s="7" t="s">
        <v>133</v>
      </c>
      <c r="G198" s="7">
        <v>2021</v>
      </c>
      <c r="H198" s="7" t="str">
        <f>CONCATENATE("14241011320")</f>
        <v>14241011320</v>
      </c>
      <c r="I198" s="7" t="s">
        <v>29</v>
      </c>
      <c r="J198" s="7" t="s">
        <v>30</v>
      </c>
      <c r="K198" s="7" t="str">
        <f>CONCATENATE("")</f>
        <v/>
      </c>
      <c r="L198" s="7" t="str">
        <f>CONCATENATE("10 10.1 4a")</f>
        <v>10 10.1 4a</v>
      </c>
      <c r="M198" s="7" t="str">
        <f>CONCATENATE("RMTGCM91B05G535X")</f>
        <v>RMTGCM91B05G535X</v>
      </c>
      <c r="N198" s="7" t="s">
        <v>249</v>
      </c>
      <c r="O198" s="7"/>
      <c r="P198" s="8">
        <v>44522</v>
      </c>
      <c r="Q198" s="7" t="s">
        <v>31</v>
      </c>
      <c r="R198" s="7" t="s">
        <v>32</v>
      </c>
      <c r="S198" s="7" t="s">
        <v>33</v>
      </c>
      <c r="T198" s="7"/>
      <c r="U198" s="7" t="s">
        <v>34</v>
      </c>
      <c r="V198" s="9">
        <v>24650</v>
      </c>
      <c r="W198" s="9">
        <v>10629.08</v>
      </c>
      <c r="X198" s="9">
        <v>9815.6299999999992</v>
      </c>
      <c r="Y198" s="7">
        <v>0</v>
      </c>
      <c r="Z198" s="9">
        <v>4205.29</v>
      </c>
    </row>
    <row r="199" spans="1:26" x14ac:dyDescent="0.35">
      <c r="A199" s="7" t="s">
        <v>27</v>
      </c>
      <c r="B199" s="7" t="s">
        <v>28</v>
      </c>
      <c r="C199" s="7" t="s">
        <v>54</v>
      </c>
      <c r="D199" s="7" t="s">
        <v>118</v>
      </c>
      <c r="E199" s="7" t="s">
        <v>36</v>
      </c>
      <c r="F199" s="7" t="s">
        <v>133</v>
      </c>
      <c r="G199" s="7">
        <v>2021</v>
      </c>
      <c r="H199" s="7" t="str">
        <f>CONCATENATE("14241012237")</f>
        <v>14241012237</v>
      </c>
      <c r="I199" s="7" t="s">
        <v>29</v>
      </c>
      <c r="J199" s="7" t="s">
        <v>30</v>
      </c>
      <c r="K199" s="7" t="str">
        <f>CONCATENATE("")</f>
        <v/>
      </c>
      <c r="L199" s="7" t="str">
        <f>CONCATENATE("10 10.1 4a")</f>
        <v>10 10.1 4a</v>
      </c>
      <c r="M199" s="7" t="str">
        <f>CONCATENATE("RMTFST55R10G478J")</f>
        <v>RMTFST55R10G478J</v>
      </c>
      <c r="N199" s="7" t="s">
        <v>177</v>
      </c>
      <c r="O199" s="7"/>
      <c r="P199" s="8">
        <v>44522</v>
      </c>
      <c r="Q199" s="7" t="s">
        <v>31</v>
      </c>
      <c r="R199" s="7" t="s">
        <v>32</v>
      </c>
      <c r="S199" s="7" t="s">
        <v>33</v>
      </c>
      <c r="T199" s="7"/>
      <c r="U199" s="7" t="s">
        <v>34</v>
      </c>
      <c r="V199" s="9">
        <v>8500</v>
      </c>
      <c r="W199" s="9">
        <v>3665.2</v>
      </c>
      <c r="X199" s="9">
        <v>3384.7</v>
      </c>
      <c r="Y199" s="7">
        <v>0</v>
      </c>
      <c r="Z199" s="9">
        <v>1450.1</v>
      </c>
    </row>
    <row r="200" spans="1:26" x14ac:dyDescent="0.35">
      <c r="A200" s="7" t="s">
        <v>27</v>
      </c>
      <c r="B200" s="7" t="s">
        <v>28</v>
      </c>
      <c r="C200" s="7" t="s">
        <v>54</v>
      </c>
      <c r="D200" s="7" t="s">
        <v>139</v>
      </c>
      <c r="E200" s="7" t="s">
        <v>36</v>
      </c>
      <c r="F200" s="7" t="s">
        <v>167</v>
      </c>
      <c r="G200" s="7">
        <v>2021</v>
      </c>
      <c r="H200" s="7" t="str">
        <f>CONCATENATE("14241027557")</f>
        <v>14241027557</v>
      </c>
      <c r="I200" s="7" t="s">
        <v>29</v>
      </c>
      <c r="J200" s="7" t="s">
        <v>30</v>
      </c>
      <c r="K200" s="7" t="str">
        <f>CONCATENATE("")</f>
        <v/>
      </c>
      <c r="L200" s="7" t="str">
        <f>CONCATENATE("10 10.1 4a")</f>
        <v>10 10.1 4a</v>
      </c>
      <c r="M200" s="7" t="str">
        <f>CONCATENATE("MRZMLS47T69B398D")</f>
        <v>MRZMLS47T69B398D</v>
      </c>
      <c r="N200" s="7" t="s">
        <v>285</v>
      </c>
      <c r="O200" s="7"/>
      <c r="P200" s="8">
        <v>44522</v>
      </c>
      <c r="Q200" s="7" t="s">
        <v>31</v>
      </c>
      <c r="R200" s="7" t="s">
        <v>32</v>
      </c>
      <c r="S200" s="7" t="s">
        <v>33</v>
      </c>
      <c r="T200" s="7"/>
      <c r="U200" s="7" t="s">
        <v>34</v>
      </c>
      <c r="V200" s="7">
        <v>610.91</v>
      </c>
      <c r="W200" s="7">
        <v>263.42</v>
      </c>
      <c r="X200" s="7">
        <v>243.26</v>
      </c>
      <c r="Y200" s="7">
        <v>0</v>
      </c>
      <c r="Z200" s="7">
        <v>104.23</v>
      </c>
    </row>
    <row r="201" spans="1:26" x14ac:dyDescent="0.35">
      <c r="A201" s="7" t="s">
        <v>27</v>
      </c>
      <c r="B201" s="7" t="s">
        <v>28</v>
      </c>
      <c r="C201" s="7" t="s">
        <v>54</v>
      </c>
      <c r="D201" s="7" t="s">
        <v>139</v>
      </c>
      <c r="E201" s="7" t="s">
        <v>36</v>
      </c>
      <c r="F201" s="7" t="s">
        <v>184</v>
      </c>
      <c r="G201" s="7">
        <v>2021</v>
      </c>
      <c r="H201" s="7" t="str">
        <f>CONCATENATE("14241036665")</f>
        <v>14241036665</v>
      </c>
      <c r="I201" s="7" t="s">
        <v>29</v>
      </c>
      <c r="J201" s="7" t="s">
        <v>30</v>
      </c>
      <c r="K201" s="7" t="str">
        <f>CONCATENATE("")</f>
        <v/>
      </c>
      <c r="L201" s="7" t="str">
        <f>CONCATENATE("10 10.1 4a")</f>
        <v>10 10.1 4a</v>
      </c>
      <c r="M201" s="7" t="str">
        <f>CONCATENATE("GSTGNN34H23F552V")</f>
        <v>GSTGNN34H23F552V</v>
      </c>
      <c r="N201" s="7" t="s">
        <v>286</v>
      </c>
      <c r="O201" s="7"/>
      <c r="P201" s="8">
        <v>44522</v>
      </c>
      <c r="Q201" s="7" t="s">
        <v>31</v>
      </c>
      <c r="R201" s="7" t="s">
        <v>32</v>
      </c>
      <c r="S201" s="7" t="s">
        <v>33</v>
      </c>
      <c r="T201" s="7"/>
      <c r="U201" s="7" t="s">
        <v>34</v>
      </c>
      <c r="V201" s="7">
        <v>807.99</v>
      </c>
      <c r="W201" s="7">
        <v>348.41</v>
      </c>
      <c r="X201" s="7">
        <v>321.74</v>
      </c>
      <c r="Y201" s="7">
        <v>0</v>
      </c>
      <c r="Z201" s="7">
        <v>137.84</v>
      </c>
    </row>
    <row r="202" spans="1:26" x14ac:dyDescent="0.35">
      <c r="A202" s="7" t="s">
        <v>27</v>
      </c>
      <c r="B202" s="7" t="s">
        <v>28</v>
      </c>
      <c r="C202" s="7" t="s">
        <v>54</v>
      </c>
      <c r="D202" s="7" t="s">
        <v>139</v>
      </c>
      <c r="E202" s="7" t="s">
        <v>36</v>
      </c>
      <c r="F202" s="7" t="s">
        <v>167</v>
      </c>
      <c r="G202" s="7">
        <v>2021</v>
      </c>
      <c r="H202" s="7" t="str">
        <f>CONCATENATE("14241065441")</f>
        <v>14241065441</v>
      </c>
      <c r="I202" s="7" t="s">
        <v>29</v>
      </c>
      <c r="J202" s="7" t="s">
        <v>30</v>
      </c>
      <c r="K202" s="7" t="str">
        <f>CONCATENATE("")</f>
        <v/>
      </c>
      <c r="L202" s="7" t="str">
        <f>CONCATENATE("10 10.1 4a")</f>
        <v>10 10.1 4a</v>
      </c>
      <c r="M202" s="7" t="str">
        <f>CONCATENATE("CLOGNN66R25B474G")</f>
        <v>CLOGNN66R25B474G</v>
      </c>
      <c r="N202" s="7" t="s">
        <v>287</v>
      </c>
      <c r="O202" s="7"/>
      <c r="P202" s="8">
        <v>44522</v>
      </c>
      <c r="Q202" s="7" t="s">
        <v>31</v>
      </c>
      <c r="R202" s="7" t="s">
        <v>32</v>
      </c>
      <c r="S202" s="7" t="s">
        <v>33</v>
      </c>
      <c r="T202" s="7"/>
      <c r="U202" s="7" t="s">
        <v>34</v>
      </c>
      <c r="V202" s="7">
        <v>936.87</v>
      </c>
      <c r="W202" s="7">
        <v>403.98</v>
      </c>
      <c r="X202" s="7">
        <v>373.06</v>
      </c>
      <c r="Y202" s="7">
        <v>0</v>
      </c>
      <c r="Z202" s="7">
        <v>159.83000000000001</v>
      </c>
    </row>
    <row r="203" spans="1:26" x14ac:dyDescent="0.35">
      <c r="A203" s="7" t="s">
        <v>27</v>
      </c>
      <c r="B203" s="7" t="s">
        <v>28</v>
      </c>
      <c r="C203" s="7" t="s">
        <v>54</v>
      </c>
      <c r="D203" s="7" t="s">
        <v>122</v>
      </c>
      <c r="E203" s="7" t="s">
        <v>38</v>
      </c>
      <c r="F203" s="7" t="s">
        <v>123</v>
      </c>
      <c r="G203" s="7">
        <v>2021</v>
      </c>
      <c r="H203" s="7" t="str">
        <f>CONCATENATE("14241080283")</f>
        <v>14241080283</v>
      </c>
      <c r="I203" s="7" t="s">
        <v>29</v>
      </c>
      <c r="J203" s="7" t="s">
        <v>30</v>
      </c>
      <c r="K203" s="7" t="str">
        <f>CONCATENATE("")</f>
        <v/>
      </c>
      <c r="L203" s="7" t="str">
        <f>CONCATENATE("10 10.1 4a")</f>
        <v>10 10.1 4a</v>
      </c>
      <c r="M203" s="7" t="str">
        <f>CONCATENATE("MNRDVD95H22I608R")</f>
        <v>MNRDVD95H22I608R</v>
      </c>
      <c r="N203" s="7" t="s">
        <v>288</v>
      </c>
      <c r="O203" s="7"/>
      <c r="P203" s="8">
        <v>44522</v>
      </c>
      <c r="Q203" s="7" t="s">
        <v>31</v>
      </c>
      <c r="R203" s="7" t="s">
        <v>32</v>
      </c>
      <c r="S203" s="7" t="s">
        <v>33</v>
      </c>
      <c r="T203" s="7"/>
      <c r="U203" s="7" t="s">
        <v>34</v>
      </c>
      <c r="V203" s="7">
        <v>916.64</v>
      </c>
      <c r="W203" s="7">
        <v>395.26</v>
      </c>
      <c r="X203" s="7">
        <v>365.01</v>
      </c>
      <c r="Y203" s="7">
        <v>0</v>
      </c>
      <c r="Z203" s="7">
        <v>156.37</v>
      </c>
    </row>
    <row r="204" spans="1:26" ht="17.5" x14ac:dyDescent="0.35">
      <c r="A204" s="7" t="s">
        <v>27</v>
      </c>
      <c r="B204" s="7" t="s">
        <v>28</v>
      </c>
      <c r="C204" s="7" t="s">
        <v>54</v>
      </c>
      <c r="D204" s="7" t="s">
        <v>122</v>
      </c>
      <c r="E204" s="7" t="s">
        <v>36</v>
      </c>
      <c r="F204" s="7" t="s">
        <v>148</v>
      </c>
      <c r="G204" s="7">
        <v>2021</v>
      </c>
      <c r="H204" s="7" t="str">
        <f>CONCATENATE("14241132340")</f>
        <v>14241132340</v>
      </c>
      <c r="I204" s="7" t="s">
        <v>29</v>
      </c>
      <c r="J204" s="7" t="s">
        <v>30</v>
      </c>
      <c r="K204" s="7" t="str">
        <f>CONCATENATE("")</f>
        <v/>
      </c>
      <c r="L204" s="7" t="str">
        <f>CONCATENATE("10 10.1 4a")</f>
        <v>10 10.1 4a</v>
      </c>
      <c r="M204" s="7" t="str">
        <f>CONCATENATE("01474980420")</f>
        <v>01474980420</v>
      </c>
      <c r="N204" s="7" t="s">
        <v>289</v>
      </c>
      <c r="O204" s="7"/>
      <c r="P204" s="8">
        <v>44522</v>
      </c>
      <c r="Q204" s="7" t="s">
        <v>31</v>
      </c>
      <c r="R204" s="7" t="s">
        <v>32</v>
      </c>
      <c r="S204" s="7" t="s">
        <v>33</v>
      </c>
      <c r="T204" s="7"/>
      <c r="U204" s="7" t="s">
        <v>34</v>
      </c>
      <c r="V204" s="7">
        <v>964.05</v>
      </c>
      <c r="W204" s="7">
        <v>415.7</v>
      </c>
      <c r="X204" s="7">
        <v>383.88</v>
      </c>
      <c r="Y204" s="7">
        <v>0</v>
      </c>
      <c r="Z204" s="7">
        <v>164.47</v>
      </c>
    </row>
    <row r="205" spans="1:26" x14ac:dyDescent="0.35">
      <c r="A205" s="7" t="s">
        <v>27</v>
      </c>
      <c r="B205" s="7" t="s">
        <v>28</v>
      </c>
      <c r="C205" s="7" t="s">
        <v>54</v>
      </c>
      <c r="D205" s="7" t="s">
        <v>139</v>
      </c>
      <c r="E205" s="7" t="s">
        <v>36</v>
      </c>
      <c r="F205" s="7" t="s">
        <v>52</v>
      </c>
      <c r="G205" s="7">
        <v>2021</v>
      </c>
      <c r="H205" s="7" t="str">
        <f>CONCATENATE("14241161620")</f>
        <v>14241161620</v>
      </c>
      <c r="I205" s="7" t="s">
        <v>29</v>
      </c>
      <c r="J205" s="7" t="s">
        <v>30</v>
      </c>
      <c r="K205" s="7" t="str">
        <f>CONCATENATE("")</f>
        <v/>
      </c>
      <c r="L205" s="7" t="str">
        <f>CONCATENATE("10 10.1 4a")</f>
        <v>10 10.1 4a</v>
      </c>
      <c r="M205" s="7" t="str">
        <f>CONCATENATE("SLVLCU88H23B474S")</f>
        <v>SLVLCU88H23B474S</v>
      </c>
      <c r="N205" s="7" t="s">
        <v>290</v>
      </c>
      <c r="O205" s="7"/>
      <c r="P205" s="8">
        <v>44522</v>
      </c>
      <c r="Q205" s="7" t="s">
        <v>31</v>
      </c>
      <c r="R205" s="7" t="s">
        <v>32</v>
      </c>
      <c r="S205" s="7" t="s">
        <v>33</v>
      </c>
      <c r="T205" s="7"/>
      <c r="U205" s="7" t="s">
        <v>34</v>
      </c>
      <c r="V205" s="9">
        <v>6910.5</v>
      </c>
      <c r="W205" s="9">
        <v>2979.81</v>
      </c>
      <c r="X205" s="9">
        <v>2751.76</v>
      </c>
      <c r="Y205" s="7">
        <v>0</v>
      </c>
      <c r="Z205" s="9">
        <v>1178.93</v>
      </c>
    </row>
    <row r="206" spans="1:26" ht="17.5" x14ac:dyDescent="0.35">
      <c r="A206" s="7" t="s">
        <v>27</v>
      </c>
      <c r="B206" s="7" t="s">
        <v>28</v>
      </c>
      <c r="C206" s="7" t="s">
        <v>54</v>
      </c>
      <c r="D206" s="7" t="s">
        <v>118</v>
      </c>
      <c r="E206" s="7" t="s">
        <v>36</v>
      </c>
      <c r="F206" s="7" t="s">
        <v>291</v>
      </c>
      <c r="G206" s="7">
        <v>2021</v>
      </c>
      <c r="H206" s="7" t="str">
        <f>CONCATENATE("14241177543")</f>
        <v>14241177543</v>
      </c>
      <c r="I206" s="7" t="s">
        <v>29</v>
      </c>
      <c r="J206" s="7" t="s">
        <v>30</v>
      </c>
      <c r="K206" s="7" t="str">
        <f>CONCATENATE("")</f>
        <v/>
      </c>
      <c r="L206" s="7" t="str">
        <f>CONCATENATE("10 10.1 4a")</f>
        <v>10 10.1 4a</v>
      </c>
      <c r="M206" s="7" t="str">
        <f>CONCATENATE("02660670411")</f>
        <v>02660670411</v>
      </c>
      <c r="N206" s="7" t="s">
        <v>292</v>
      </c>
      <c r="O206" s="7"/>
      <c r="P206" s="8">
        <v>44522</v>
      </c>
      <c r="Q206" s="7" t="s">
        <v>31</v>
      </c>
      <c r="R206" s="7" t="s">
        <v>32</v>
      </c>
      <c r="S206" s="7" t="s">
        <v>33</v>
      </c>
      <c r="T206" s="7"/>
      <c r="U206" s="7" t="s">
        <v>34</v>
      </c>
      <c r="V206" s="7">
        <v>340</v>
      </c>
      <c r="W206" s="7">
        <v>146.61000000000001</v>
      </c>
      <c r="X206" s="7">
        <v>135.38999999999999</v>
      </c>
      <c r="Y206" s="7">
        <v>0</v>
      </c>
      <c r="Z206" s="7">
        <v>58</v>
      </c>
    </row>
    <row r="207" spans="1:26" x14ac:dyDescent="0.35">
      <c r="A207" s="7" t="s">
        <v>27</v>
      </c>
      <c r="B207" s="7" t="s">
        <v>28</v>
      </c>
      <c r="C207" s="7" t="s">
        <v>54</v>
      </c>
      <c r="D207" s="7" t="s">
        <v>122</v>
      </c>
      <c r="E207" s="7" t="s">
        <v>40</v>
      </c>
      <c r="F207" s="7" t="s">
        <v>293</v>
      </c>
      <c r="G207" s="7">
        <v>2021</v>
      </c>
      <c r="H207" s="7" t="str">
        <f>CONCATENATE("14241195032")</f>
        <v>14241195032</v>
      </c>
      <c r="I207" s="7" t="s">
        <v>29</v>
      </c>
      <c r="J207" s="7" t="s">
        <v>30</v>
      </c>
      <c r="K207" s="7" t="str">
        <f>CONCATENATE("")</f>
        <v/>
      </c>
      <c r="L207" s="7" t="str">
        <f>CONCATENATE("10 10.1 4a")</f>
        <v>10 10.1 4a</v>
      </c>
      <c r="M207" s="7" t="str">
        <f>CONCATENATE("GNNGRG89D13A271T")</f>
        <v>GNNGRG89D13A271T</v>
      </c>
      <c r="N207" s="7" t="s">
        <v>294</v>
      </c>
      <c r="O207" s="7"/>
      <c r="P207" s="8">
        <v>44522</v>
      </c>
      <c r="Q207" s="7" t="s">
        <v>31</v>
      </c>
      <c r="R207" s="7" t="s">
        <v>32</v>
      </c>
      <c r="S207" s="7" t="s">
        <v>33</v>
      </c>
      <c r="T207" s="7"/>
      <c r="U207" s="7" t="s">
        <v>34</v>
      </c>
      <c r="V207" s="9">
        <v>1156.95</v>
      </c>
      <c r="W207" s="7">
        <v>498.88</v>
      </c>
      <c r="X207" s="7">
        <v>460.7</v>
      </c>
      <c r="Y207" s="7">
        <v>0</v>
      </c>
      <c r="Z207" s="7">
        <v>197.37</v>
      </c>
    </row>
    <row r="208" spans="1:26" x14ac:dyDescent="0.35">
      <c r="A208" s="7" t="s">
        <v>27</v>
      </c>
      <c r="B208" s="7" t="s">
        <v>28</v>
      </c>
      <c r="C208" s="7" t="s">
        <v>54</v>
      </c>
      <c r="D208" s="7" t="s">
        <v>139</v>
      </c>
      <c r="E208" s="7" t="s">
        <v>37</v>
      </c>
      <c r="F208" s="7" t="s">
        <v>151</v>
      </c>
      <c r="G208" s="7">
        <v>2021</v>
      </c>
      <c r="H208" s="7" t="str">
        <f>CONCATENATE("14241197731")</f>
        <v>14241197731</v>
      </c>
      <c r="I208" s="7" t="s">
        <v>29</v>
      </c>
      <c r="J208" s="7" t="s">
        <v>30</v>
      </c>
      <c r="K208" s="7" t="str">
        <f>CONCATENATE("")</f>
        <v/>
      </c>
      <c r="L208" s="7" t="str">
        <f>CONCATENATE("10 10.1 4a")</f>
        <v>10 10.1 4a</v>
      </c>
      <c r="M208" s="7" t="str">
        <f>CONCATENATE("DLLDVD92P30I156S")</f>
        <v>DLLDVD92P30I156S</v>
      </c>
      <c r="N208" s="7" t="s">
        <v>295</v>
      </c>
      <c r="O208" s="7"/>
      <c r="P208" s="8">
        <v>44522</v>
      </c>
      <c r="Q208" s="7" t="s">
        <v>31</v>
      </c>
      <c r="R208" s="7" t="s">
        <v>32</v>
      </c>
      <c r="S208" s="7" t="s">
        <v>33</v>
      </c>
      <c r="T208" s="7"/>
      <c r="U208" s="7" t="s">
        <v>34</v>
      </c>
      <c r="V208" s="7">
        <v>499.29</v>
      </c>
      <c r="W208" s="7">
        <v>215.29</v>
      </c>
      <c r="X208" s="7">
        <v>198.82</v>
      </c>
      <c r="Y208" s="7">
        <v>0</v>
      </c>
      <c r="Z208" s="7">
        <v>85.18</v>
      </c>
    </row>
    <row r="209" spans="1:26" x14ac:dyDescent="0.35">
      <c r="A209" s="7" t="s">
        <v>27</v>
      </c>
      <c r="B209" s="7" t="s">
        <v>28</v>
      </c>
      <c r="C209" s="7" t="s">
        <v>54</v>
      </c>
      <c r="D209" s="7" t="s">
        <v>55</v>
      </c>
      <c r="E209" s="7" t="s">
        <v>36</v>
      </c>
      <c r="F209" s="7" t="s">
        <v>56</v>
      </c>
      <c r="G209" s="7">
        <v>2021</v>
      </c>
      <c r="H209" s="7" t="str">
        <f>CONCATENATE("14240099888")</f>
        <v>14240099888</v>
      </c>
      <c r="I209" s="7" t="s">
        <v>29</v>
      </c>
      <c r="J209" s="7" t="s">
        <v>30</v>
      </c>
      <c r="K209" s="7" t="str">
        <f>CONCATENATE("")</f>
        <v/>
      </c>
      <c r="L209" s="7" t="str">
        <f>CONCATENATE("10 10.1 4a")</f>
        <v>10 10.1 4a</v>
      </c>
      <c r="M209" s="7" t="str">
        <f>CONCATENATE("CRUMRZ74E14G516C")</f>
        <v>CRUMRZ74E14G516C</v>
      </c>
      <c r="N209" s="7" t="s">
        <v>296</v>
      </c>
      <c r="O209" s="7"/>
      <c r="P209" s="8">
        <v>44522</v>
      </c>
      <c r="Q209" s="7" t="s">
        <v>31</v>
      </c>
      <c r="R209" s="7" t="s">
        <v>32</v>
      </c>
      <c r="S209" s="7" t="s">
        <v>33</v>
      </c>
      <c r="T209" s="7"/>
      <c r="U209" s="7" t="s">
        <v>34</v>
      </c>
      <c r="V209" s="9">
        <v>1437.55</v>
      </c>
      <c r="W209" s="7">
        <v>619.87</v>
      </c>
      <c r="X209" s="7">
        <v>572.42999999999995</v>
      </c>
      <c r="Y209" s="7">
        <v>0</v>
      </c>
      <c r="Z209" s="7">
        <v>245.25</v>
      </c>
    </row>
    <row r="210" spans="1:26" x14ac:dyDescent="0.35">
      <c r="A210" s="7" t="s">
        <v>27</v>
      </c>
      <c r="B210" s="7" t="s">
        <v>28</v>
      </c>
      <c r="C210" s="7" t="s">
        <v>54</v>
      </c>
      <c r="D210" s="7" t="s">
        <v>55</v>
      </c>
      <c r="E210" s="7" t="s">
        <v>36</v>
      </c>
      <c r="F210" s="7" t="s">
        <v>56</v>
      </c>
      <c r="G210" s="7">
        <v>2021</v>
      </c>
      <c r="H210" s="7" t="str">
        <f>CONCATENATE("14240136409")</f>
        <v>14240136409</v>
      </c>
      <c r="I210" s="7" t="s">
        <v>29</v>
      </c>
      <c r="J210" s="7" t="s">
        <v>30</v>
      </c>
      <c r="K210" s="7" t="str">
        <f>CONCATENATE("")</f>
        <v/>
      </c>
      <c r="L210" s="7" t="str">
        <f>CONCATENATE("10 10.1 4a")</f>
        <v>10 10.1 4a</v>
      </c>
      <c r="M210" s="7" t="str">
        <f>CONCATENATE("PCTCPI97L27D542E")</f>
        <v>PCTCPI97L27D542E</v>
      </c>
      <c r="N210" s="7" t="s">
        <v>297</v>
      </c>
      <c r="O210" s="7"/>
      <c r="P210" s="8">
        <v>44522</v>
      </c>
      <c r="Q210" s="7" t="s">
        <v>31</v>
      </c>
      <c r="R210" s="7" t="s">
        <v>32</v>
      </c>
      <c r="S210" s="7" t="s">
        <v>33</v>
      </c>
      <c r="T210" s="7"/>
      <c r="U210" s="7" t="s">
        <v>34</v>
      </c>
      <c r="V210" s="9">
        <v>1095.17</v>
      </c>
      <c r="W210" s="7">
        <v>472.24</v>
      </c>
      <c r="X210" s="7">
        <v>436.1</v>
      </c>
      <c r="Y210" s="7">
        <v>0</v>
      </c>
      <c r="Z210" s="7">
        <v>186.83</v>
      </c>
    </row>
    <row r="211" spans="1:26" x14ac:dyDescent="0.35">
      <c r="A211" s="7" t="s">
        <v>27</v>
      </c>
      <c r="B211" s="7" t="s">
        <v>28</v>
      </c>
      <c r="C211" s="7" t="s">
        <v>54</v>
      </c>
      <c r="D211" s="7" t="s">
        <v>55</v>
      </c>
      <c r="E211" s="7" t="s">
        <v>43</v>
      </c>
      <c r="F211" s="7" t="s">
        <v>298</v>
      </c>
      <c r="G211" s="7">
        <v>2021</v>
      </c>
      <c r="H211" s="7" t="str">
        <f>CONCATENATE("14240137183")</f>
        <v>14240137183</v>
      </c>
      <c r="I211" s="7" t="s">
        <v>29</v>
      </c>
      <c r="J211" s="7" t="s">
        <v>30</v>
      </c>
      <c r="K211" s="7" t="str">
        <f>CONCATENATE("")</f>
        <v/>
      </c>
      <c r="L211" s="7" t="str">
        <f>CONCATENATE("10 10.1 4a")</f>
        <v>10 10.1 4a</v>
      </c>
      <c r="M211" s="7" t="str">
        <f>CONCATENATE("CRCSLN44R71A462G")</f>
        <v>CRCSLN44R71A462G</v>
      </c>
      <c r="N211" s="7" t="s">
        <v>299</v>
      </c>
      <c r="O211" s="7"/>
      <c r="P211" s="8">
        <v>44522</v>
      </c>
      <c r="Q211" s="7" t="s">
        <v>31</v>
      </c>
      <c r="R211" s="7" t="s">
        <v>32</v>
      </c>
      <c r="S211" s="7" t="s">
        <v>33</v>
      </c>
      <c r="T211" s="7"/>
      <c r="U211" s="7" t="s">
        <v>34</v>
      </c>
      <c r="V211" s="7">
        <v>374.92</v>
      </c>
      <c r="W211" s="7">
        <v>161.66999999999999</v>
      </c>
      <c r="X211" s="7">
        <v>149.29</v>
      </c>
      <c r="Y211" s="7">
        <v>0</v>
      </c>
      <c r="Z211" s="7">
        <v>63.96</v>
      </c>
    </row>
    <row r="212" spans="1:26" x14ac:dyDescent="0.35">
      <c r="A212" s="7" t="s">
        <v>27</v>
      </c>
      <c r="B212" s="7" t="s">
        <v>28</v>
      </c>
      <c r="C212" s="7" t="s">
        <v>54</v>
      </c>
      <c r="D212" s="7" t="s">
        <v>139</v>
      </c>
      <c r="E212" s="7" t="s">
        <v>36</v>
      </c>
      <c r="F212" s="7" t="s">
        <v>184</v>
      </c>
      <c r="G212" s="7">
        <v>2021</v>
      </c>
      <c r="H212" s="7" t="str">
        <f>CONCATENATE("14240139007")</f>
        <v>14240139007</v>
      </c>
      <c r="I212" s="7" t="s">
        <v>29</v>
      </c>
      <c r="J212" s="7" t="s">
        <v>30</v>
      </c>
      <c r="K212" s="7" t="str">
        <f>CONCATENATE("")</f>
        <v/>
      </c>
      <c r="L212" s="7" t="str">
        <f>CONCATENATE("10 10.1 4a")</f>
        <v>10 10.1 4a</v>
      </c>
      <c r="M212" s="7" t="str">
        <f>CONCATENATE("RSLDNL94T30A252S")</f>
        <v>RSLDNL94T30A252S</v>
      </c>
      <c r="N212" s="7" t="s">
        <v>300</v>
      </c>
      <c r="O212" s="7"/>
      <c r="P212" s="8">
        <v>44522</v>
      </c>
      <c r="Q212" s="7" t="s">
        <v>31</v>
      </c>
      <c r="R212" s="7" t="s">
        <v>32</v>
      </c>
      <c r="S212" s="7" t="s">
        <v>33</v>
      </c>
      <c r="T212" s="7"/>
      <c r="U212" s="7" t="s">
        <v>34</v>
      </c>
      <c r="V212" s="7">
        <v>745.76</v>
      </c>
      <c r="W212" s="7">
        <v>321.57</v>
      </c>
      <c r="X212" s="7">
        <v>296.95999999999998</v>
      </c>
      <c r="Y212" s="7">
        <v>0</v>
      </c>
      <c r="Z212" s="7">
        <v>127.23</v>
      </c>
    </row>
    <row r="213" spans="1:26" x14ac:dyDescent="0.35">
      <c r="A213" s="7" t="s">
        <v>27</v>
      </c>
      <c r="B213" s="7" t="s">
        <v>28</v>
      </c>
      <c r="C213" s="7" t="s">
        <v>54</v>
      </c>
      <c r="D213" s="7" t="s">
        <v>139</v>
      </c>
      <c r="E213" s="7" t="s">
        <v>36</v>
      </c>
      <c r="F213" s="7" t="s">
        <v>167</v>
      </c>
      <c r="G213" s="7">
        <v>2021</v>
      </c>
      <c r="H213" s="7" t="str">
        <f>CONCATENATE("14240200148")</f>
        <v>14240200148</v>
      </c>
      <c r="I213" s="7" t="s">
        <v>29</v>
      </c>
      <c r="J213" s="7" t="s">
        <v>30</v>
      </c>
      <c r="K213" s="7" t="str">
        <f>CONCATENATE("")</f>
        <v/>
      </c>
      <c r="L213" s="7" t="str">
        <f>CONCATENATE("10 10.1 4a")</f>
        <v>10 10.1 4a</v>
      </c>
      <c r="M213" s="7" t="str">
        <f>CONCATENATE("HRBMRA73E63Z138N")</f>
        <v>HRBMRA73E63Z138N</v>
      </c>
      <c r="N213" s="7" t="s">
        <v>301</v>
      </c>
      <c r="O213" s="7"/>
      <c r="P213" s="8">
        <v>44522</v>
      </c>
      <c r="Q213" s="7" t="s">
        <v>31</v>
      </c>
      <c r="R213" s="7" t="s">
        <v>32</v>
      </c>
      <c r="S213" s="7" t="s">
        <v>33</v>
      </c>
      <c r="T213" s="7"/>
      <c r="U213" s="7" t="s">
        <v>34</v>
      </c>
      <c r="V213" s="7">
        <v>344.62</v>
      </c>
      <c r="W213" s="7">
        <v>148.6</v>
      </c>
      <c r="X213" s="7">
        <v>137.22999999999999</v>
      </c>
      <c r="Y213" s="7">
        <v>0</v>
      </c>
      <c r="Z213" s="7">
        <v>58.79</v>
      </c>
    </row>
    <row r="214" spans="1:26" x14ac:dyDescent="0.35">
      <c r="A214" s="7" t="s">
        <v>27</v>
      </c>
      <c r="B214" s="7" t="s">
        <v>28</v>
      </c>
      <c r="C214" s="7" t="s">
        <v>54</v>
      </c>
      <c r="D214" s="7" t="s">
        <v>55</v>
      </c>
      <c r="E214" s="7" t="s">
        <v>36</v>
      </c>
      <c r="F214" s="7" t="s">
        <v>56</v>
      </c>
      <c r="G214" s="7">
        <v>2021</v>
      </c>
      <c r="H214" s="7" t="str">
        <f>CONCATENATE("14240227364")</f>
        <v>14240227364</v>
      </c>
      <c r="I214" s="7" t="s">
        <v>29</v>
      </c>
      <c r="J214" s="7" t="s">
        <v>30</v>
      </c>
      <c r="K214" s="7" t="str">
        <f>CONCATENATE("")</f>
        <v/>
      </c>
      <c r="L214" s="7" t="str">
        <f>CONCATENATE("10 10.1 4a")</f>
        <v>10 10.1 4a</v>
      </c>
      <c r="M214" s="7" t="str">
        <f>CONCATENATE("GMNLTZ98H57A271V")</f>
        <v>GMNLTZ98H57A271V</v>
      </c>
      <c r="N214" s="7" t="s">
        <v>302</v>
      </c>
      <c r="O214" s="7"/>
      <c r="P214" s="8">
        <v>44522</v>
      </c>
      <c r="Q214" s="7" t="s">
        <v>31</v>
      </c>
      <c r="R214" s="7" t="s">
        <v>32</v>
      </c>
      <c r="S214" s="7" t="s">
        <v>33</v>
      </c>
      <c r="T214" s="7"/>
      <c r="U214" s="7" t="s">
        <v>34</v>
      </c>
      <c r="V214" s="9">
        <v>1451.42</v>
      </c>
      <c r="W214" s="7">
        <v>625.85</v>
      </c>
      <c r="X214" s="7">
        <v>577.96</v>
      </c>
      <c r="Y214" s="7">
        <v>0</v>
      </c>
      <c r="Z214" s="7">
        <v>247.61</v>
      </c>
    </row>
    <row r="215" spans="1:26" x14ac:dyDescent="0.35">
      <c r="A215" s="7" t="s">
        <v>27</v>
      </c>
      <c r="B215" s="7" t="s">
        <v>28</v>
      </c>
      <c r="C215" s="7" t="s">
        <v>54</v>
      </c>
      <c r="D215" s="7" t="s">
        <v>55</v>
      </c>
      <c r="E215" s="7" t="s">
        <v>38</v>
      </c>
      <c r="F215" s="7" t="s">
        <v>71</v>
      </c>
      <c r="G215" s="7">
        <v>2021</v>
      </c>
      <c r="H215" s="7" t="str">
        <f>CONCATENATE("14240295726")</f>
        <v>14240295726</v>
      </c>
      <c r="I215" s="7" t="s">
        <v>29</v>
      </c>
      <c r="J215" s="7" t="s">
        <v>30</v>
      </c>
      <c r="K215" s="7" t="str">
        <f>CONCATENATE("")</f>
        <v/>
      </c>
      <c r="L215" s="7" t="str">
        <f>CONCATENATE("10 10.1 4a")</f>
        <v>10 10.1 4a</v>
      </c>
      <c r="M215" s="7" t="str">
        <f>CONCATENATE("LRNMRZ79P03A462M")</f>
        <v>LRNMRZ79P03A462M</v>
      </c>
      <c r="N215" s="7" t="s">
        <v>303</v>
      </c>
      <c r="O215" s="7"/>
      <c r="P215" s="8">
        <v>44522</v>
      </c>
      <c r="Q215" s="7" t="s">
        <v>31</v>
      </c>
      <c r="R215" s="7" t="s">
        <v>32</v>
      </c>
      <c r="S215" s="7" t="s">
        <v>33</v>
      </c>
      <c r="T215" s="7"/>
      <c r="U215" s="7" t="s">
        <v>34</v>
      </c>
      <c r="V215" s="7">
        <v>322.52</v>
      </c>
      <c r="W215" s="7">
        <v>139.07</v>
      </c>
      <c r="X215" s="7">
        <v>128.43</v>
      </c>
      <c r="Y215" s="7">
        <v>0</v>
      </c>
      <c r="Z215" s="7">
        <v>55.02</v>
      </c>
    </row>
    <row r="216" spans="1:26" x14ac:dyDescent="0.35">
      <c r="A216" s="7" t="s">
        <v>27</v>
      </c>
      <c r="B216" s="7" t="s">
        <v>28</v>
      </c>
      <c r="C216" s="7" t="s">
        <v>54</v>
      </c>
      <c r="D216" s="7" t="s">
        <v>55</v>
      </c>
      <c r="E216" s="7" t="s">
        <v>36</v>
      </c>
      <c r="F216" s="7" t="s">
        <v>56</v>
      </c>
      <c r="G216" s="7">
        <v>2021</v>
      </c>
      <c r="H216" s="7" t="str">
        <f>CONCATENATE("14240256884")</f>
        <v>14240256884</v>
      </c>
      <c r="I216" s="7" t="s">
        <v>29</v>
      </c>
      <c r="J216" s="7" t="s">
        <v>30</v>
      </c>
      <c r="K216" s="7" t="str">
        <f>CONCATENATE("")</f>
        <v/>
      </c>
      <c r="L216" s="7" t="str">
        <f>CONCATENATE("10 10.1 4a")</f>
        <v>10 10.1 4a</v>
      </c>
      <c r="M216" s="7" t="str">
        <f>CONCATENATE("TRNGZL54T48H588K")</f>
        <v>TRNGZL54T48H588K</v>
      </c>
      <c r="N216" s="7" t="s">
        <v>304</v>
      </c>
      <c r="O216" s="7"/>
      <c r="P216" s="8">
        <v>44522</v>
      </c>
      <c r="Q216" s="7" t="s">
        <v>31</v>
      </c>
      <c r="R216" s="7" t="s">
        <v>32</v>
      </c>
      <c r="S216" s="7" t="s">
        <v>33</v>
      </c>
      <c r="T216" s="7"/>
      <c r="U216" s="7" t="s">
        <v>34</v>
      </c>
      <c r="V216" s="7">
        <v>362.47</v>
      </c>
      <c r="W216" s="7">
        <v>156.30000000000001</v>
      </c>
      <c r="X216" s="7">
        <v>144.34</v>
      </c>
      <c r="Y216" s="7">
        <v>0</v>
      </c>
      <c r="Z216" s="7">
        <v>61.83</v>
      </c>
    </row>
    <row r="217" spans="1:26" ht="17.5" x14ac:dyDescent="0.35">
      <c r="A217" s="7" t="s">
        <v>27</v>
      </c>
      <c r="B217" s="7" t="s">
        <v>28</v>
      </c>
      <c r="C217" s="7" t="s">
        <v>54</v>
      </c>
      <c r="D217" s="7" t="s">
        <v>139</v>
      </c>
      <c r="E217" s="7" t="s">
        <v>36</v>
      </c>
      <c r="F217" s="7" t="s">
        <v>217</v>
      </c>
      <c r="G217" s="7">
        <v>2021</v>
      </c>
      <c r="H217" s="7" t="str">
        <f>CONCATENATE("14240257635")</f>
        <v>14240257635</v>
      </c>
      <c r="I217" s="7" t="s">
        <v>29</v>
      </c>
      <c r="J217" s="7" t="s">
        <v>30</v>
      </c>
      <c r="K217" s="7" t="str">
        <f>CONCATENATE("")</f>
        <v/>
      </c>
      <c r="L217" s="7" t="str">
        <f>CONCATENATE("10 10.1 4a")</f>
        <v>10 10.1 4a</v>
      </c>
      <c r="M217" s="7" t="str">
        <f>CONCATENATE("01588080430")</f>
        <v>01588080430</v>
      </c>
      <c r="N217" s="7" t="s">
        <v>305</v>
      </c>
      <c r="O217" s="7"/>
      <c r="P217" s="8">
        <v>44522</v>
      </c>
      <c r="Q217" s="7" t="s">
        <v>31</v>
      </c>
      <c r="R217" s="7" t="s">
        <v>32</v>
      </c>
      <c r="S217" s="7" t="s">
        <v>33</v>
      </c>
      <c r="T217" s="7"/>
      <c r="U217" s="7" t="s">
        <v>34</v>
      </c>
      <c r="V217" s="7">
        <v>253.74</v>
      </c>
      <c r="W217" s="7">
        <v>109.41</v>
      </c>
      <c r="X217" s="7">
        <v>101.04</v>
      </c>
      <c r="Y217" s="7">
        <v>0</v>
      </c>
      <c r="Z217" s="7">
        <v>43.29</v>
      </c>
    </row>
    <row r="218" spans="1:26" x14ac:dyDescent="0.35">
      <c r="A218" s="7" t="s">
        <v>27</v>
      </c>
      <c r="B218" s="7" t="s">
        <v>28</v>
      </c>
      <c r="C218" s="7" t="s">
        <v>54</v>
      </c>
      <c r="D218" s="7" t="s">
        <v>122</v>
      </c>
      <c r="E218" s="7" t="s">
        <v>36</v>
      </c>
      <c r="F218" s="7" t="s">
        <v>148</v>
      </c>
      <c r="G218" s="7">
        <v>2021</v>
      </c>
      <c r="H218" s="7" t="str">
        <f>CONCATENATE("14240273582")</f>
        <v>14240273582</v>
      </c>
      <c r="I218" s="7" t="s">
        <v>29</v>
      </c>
      <c r="J218" s="7" t="s">
        <v>30</v>
      </c>
      <c r="K218" s="7" t="str">
        <f>CONCATENATE("")</f>
        <v/>
      </c>
      <c r="L218" s="7" t="str">
        <f>CONCATENATE("10 10.1 4a")</f>
        <v>10 10.1 4a</v>
      </c>
      <c r="M218" s="7" t="str">
        <f>CONCATENATE("BGTRRT71E09E388U")</f>
        <v>BGTRRT71E09E388U</v>
      </c>
      <c r="N218" s="7" t="s">
        <v>306</v>
      </c>
      <c r="O218" s="7"/>
      <c r="P218" s="8">
        <v>44522</v>
      </c>
      <c r="Q218" s="7" t="s">
        <v>31</v>
      </c>
      <c r="R218" s="7" t="s">
        <v>32</v>
      </c>
      <c r="S218" s="7" t="s">
        <v>33</v>
      </c>
      <c r="T218" s="7"/>
      <c r="U218" s="7" t="s">
        <v>34</v>
      </c>
      <c r="V218" s="7">
        <v>647.46</v>
      </c>
      <c r="W218" s="7">
        <v>279.18</v>
      </c>
      <c r="X218" s="7">
        <v>257.82</v>
      </c>
      <c r="Y218" s="7">
        <v>0</v>
      </c>
      <c r="Z218" s="7">
        <v>110.46</v>
      </c>
    </row>
    <row r="219" spans="1:26" x14ac:dyDescent="0.35">
      <c r="A219" s="7" t="s">
        <v>27</v>
      </c>
      <c r="B219" s="7" t="s">
        <v>28</v>
      </c>
      <c r="C219" s="7" t="s">
        <v>54</v>
      </c>
      <c r="D219" s="7" t="s">
        <v>55</v>
      </c>
      <c r="E219" s="7" t="s">
        <v>42</v>
      </c>
      <c r="F219" s="7" t="s">
        <v>307</v>
      </c>
      <c r="G219" s="7">
        <v>2021</v>
      </c>
      <c r="H219" s="7" t="str">
        <f>CONCATENATE("14240832775")</f>
        <v>14240832775</v>
      </c>
      <c r="I219" s="7" t="s">
        <v>29</v>
      </c>
      <c r="J219" s="7" t="s">
        <v>30</v>
      </c>
      <c r="K219" s="7" t="str">
        <f>CONCATENATE("")</f>
        <v/>
      </c>
      <c r="L219" s="7" t="str">
        <f>CONCATENATE("10 10.1 4a")</f>
        <v>10 10.1 4a</v>
      </c>
      <c r="M219" s="7" t="str">
        <f>CONCATENATE("PCNBBR71R52E783L")</f>
        <v>PCNBBR71R52E783L</v>
      </c>
      <c r="N219" s="7" t="s">
        <v>308</v>
      </c>
      <c r="O219" s="7"/>
      <c r="P219" s="8">
        <v>44522</v>
      </c>
      <c r="Q219" s="7" t="s">
        <v>31</v>
      </c>
      <c r="R219" s="7" t="s">
        <v>32</v>
      </c>
      <c r="S219" s="7" t="s">
        <v>33</v>
      </c>
      <c r="T219" s="7"/>
      <c r="U219" s="7" t="s">
        <v>34</v>
      </c>
      <c r="V219" s="9">
        <v>1292.99</v>
      </c>
      <c r="W219" s="7">
        <v>557.54</v>
      </c>
      <c r="X219" s="7">
        <v>514.87</v>
      </c>
      <c r="Y219" s="7">
        <v>0</v>
      </c>
      <c r="Z219" s="7">
        <v>220.58</v>
      </c>
    </row>
    <row r="220" spans="1:26" x14ac:dyDescent="0.35">
      <c r="A220" s="7" t="s">
        <v>27</v>
      </c>
      <c r="B220" s="7" t="s">
        <v>28</v>
      </c>
      <c r="C220" s="7" t="s">
        <v>54</v>
      </c>
      <c r="D220" s="7" t="s">
        <v>139</v>
      </c>
      <c r="E220" s="7" t="s">
        <v>36</v>
      </c>
      <c r="F220" s="7" t="s">
        <v>167</v>
      </c>
      <c r="G220" s="7">
        <v>2021</v>
      </c>
      <c r="H220" s="7" t="str">
        <f>CONCATENATE("14240319682")</f>
        <v>14240319682</v>
      </c>
      <c r="I220" s="7" t="s">
        <v>29</v>
      </c>
      <c r="J220" s="7" t="s">
        <v>30</v>
      </c>
      <c r="K220" s="7" t="str">
        <f>CONCATENATE("")</f>
        <v/>
      </c>
      <c r="L220" s="7" t="str">
        <f>CONCATENATE("10 10.1 4a")</f>
        <v>10 10.1 4a</v>
      </c>
      <c r="M220" s="7" t="str">
        <f>CONCATENATE("CLOGNN66R25B474G")</f>
        <v>CLOGNN66R25B474G</v>
      </c>
      <c r="N220" s="7" t="s">
        <v>287</v>
      </c>
      <c r="O220" s="7"/>
      <c r="P220" s="8">
        <v>44522</v>
      </c>
      <c r="Q220" s="7" t="s">
        <v>31</v>
      </c>
      <c r="R220" s="7" t="s">
        <v>32</v>
      </c>
      <c r="S220" s="7" t="s">
        <v>33</v>
      </c>
      <c r="T220" s="7"/>
      <c r="U220" s="7" t="s">
        <v>34</v>
      </c>
      <c r="V220" s="7">
        <v>888.32</v>
      </c>
      <c r="W220" s="7">
        <v>383.04</v>
      </c>
      <c r="X220" s="7">
        <v>353.73</v>
      </c>
      <c r="Y220" s="7">
        <v>0</v>
      </c>
      <c r="Z220" s="7">
        <v>151.55000000000001</v>
      </c>
    </row>
    <row r="221" spans="1:26" x14ac:dyDescent="0.35">
      <c r="A221" s="7" t="s">
        <v>27</v>
      </c>
      <c r="B221" s="7" t="s">
        <v>28</v>
      </c>
      <c r="C221" s="7" t="s">
        <v>54</v>
      </c>
      <c r="D221" s="7" t="s">
        <v>118</v>
      </c>
      <c r="E221" s="7" t="s">
        <v>38</v>
      </c>
      <c r="F221" s="7" t="s">
        <v>281</v>
      </c>
      <c r="G221" s="7">
        <v>2021</v>
      </c>
      <c r="H221" s="7" t="str">
        <f>CONCATENATE("14240319757")</f>
        <v>14240319757</v>
      </c>
      <c r="I221" s="7" t="s">
        <v>29</v>
      </c>
      <c r="J221" s="7" t="s">
        <v>30</v>
      </c>
      <c r="K221" s="7" t="str">
        <f>CONCATENATE("")</f>
        <v/>
      </c>
      <c r="L221" s="7" t="str">
        <f>CONCATENATE("10 10.1 4a")</f>
        <v>10 10.1 4a</v>
      </c>
      <c r="M221" s="7" t="str">
        <f>CONCATENATE("02620580411")</f>
        <v>02620580411</v>
      </c>
      <c r="N221" s="7" t="s">
        <v>282</v>
      </c>
      <c r="O221" s="7"/>
      <c r="P221" s="8">
        <v>44522</v>
      </c>
      <c r="Q221" s="7" t="s">
        <v>31</v>
      </c>
      <c r="R221" s="7" t="s">
        <v>32</v>
      </c>
      <c r="S221" s="7" t="s">
        <v>33</v>
      </c>
      <c r="T221" s="7"/>
      <c r="U221" s="7" t="s">
        <v>34</v>
      </c>
      <c r="V221" s="7">
        <v>340</v>
      </c>
      <c r="W221" s="7">
        <v>146.61000000000001</v>
      </c>
      <c r="X221" s="7">
        <v>135.38999999999999</v>
      </c>
      <c r="Y221" s="7">
        <v>0</v>
      </c>
      <c r="Z221" s="7">
        <v>58</v>
      </c>
    </row>
    <row r="222" spans="1:26" x14ac:dyDescent="0.35">
      <c r="A222" s="7" t="s">
        <v>27</v>
      </c>
      <c r="B222" s="7" t="s">
        <v>28</v>
      </c>
      <c r="C222" s="7" t="s">
        <v>54</v>
      </c>
      <c r="D222" s="7" t="s">
        <v>55</v>
      </c>
      <c r="E222" s="7" t="s">
        <v>38</v>
      </c>
      <c r="F222" s="7" t="s">
        <v>83</v>
      </c>
      <c r="G222" s="7">
        <v>2021</v>
      </c>
      <c r="H222" s="7" t="str">
        <f>CONCATENATE("14240340407")</f>
        <v>14240340407</v>
      </c>
      <c r="I222" s="7" t="s">
        <v>29</v>
      </c>
      <c r="J222" s="7" t="s">
        <v>30</v>
      </c>
      <c r="K222" s="7" t="str">
        <f>CONCATENATE("")</f>
        <v/>
      </c>
      <c r="L222" s="7" t="str">
        <f>CONCATENATE("10 10.1 4a")</f>
        <v>10 10.1 4a</v>
      </c>
      <c r="M222" s="7" t="str">
        <f>CONCATENATE("VGNLLN61M50Z110B")</f>
        <v>VGNLLN61M50Z110B</v>
      </c>
      <c r="N222" s="7" t="s">
        <v>309</v>
      </c>
      <c r="O222" s="7"/>
      <c r="P222" s="8">
        <v>44522</v>
      </c>
      <c r="Q222" s="7" t="s">
        <v>31</v>
      </c>
      <c r="R222" s="7" t="s">
        <v>32</v>
      </c>
      <c r="S222" s="7" t="s">
        <v>33</v>
      </c>
      <c r="T222" s="7"/>
      <c r="U222" s="7" t="s">
        <v>34</v>
      </c>
      <c r="V222" s="9">
        <v>4284</v>
      </c>
      <c r="W222" s="9">
        <v>1847.26</v>
      </c>
      <c r="X222" s="9">
        <v>1705.89</v>
      </c>
      <c r="Y222" s="7">
        <v>0</v>
      </c>
      <c r="Z222" s="7">
        <v>730.85</v>
      </c>
    </row>
    <row r="223" spans="1:26" x14ac:dyDescent="0.35">
      <c r="A223" s="7" t="s">
        <v>27</v>
      </c>
      <c r="B223" s="7" t="s">
        <v>28</v>
      </c>
      <c r="C223" s="7" t="s">
        <v>54</v>
      </c>
      <c r="D223" s="7" t="s">
        <v>55</v>
      </c>
      <c r="E223" s="7" t="s">
        <v>43</v>
      </c>
      <c r="F223" s="7" t="s">
        <v>298</v>
      </c>
      <c r="G223" s="7">
        <v>2021</v>
      </c>
      <c r="H223" s="7" t="str">
        <f>CONCATENATE("14240348509")</f>
        <v>14240348509</v>
      </c>
      <c r="I223" s="7" t="s">
        <v>29</v>
      </c>
      <c r="J223" s="7" t="s">
        <v>30</v>
      </c>
      <c r="K223" s="7" t="str">
        <f>CONCATENATE("")</f>
        <v/>
      </c>
      <c r="L223" s="7" t="str">
        <f>CONCATENATE("10 10.1 4a")</f>
        <v>10 10.1 4a</v>
      </c>
      <c r="M223" s="7" t="str">
        <f>CONCATENATE("CMNPRP80M24A462N")</f>
        <v>CMNPRP80M24A462N</v>
      </c>
      <c r="N223" s="7" t="s">
        <v>310</v>
      </c>
      <c r="O223" s="7"/>
      <c r="P223" s="8">
        <v>44522</v>
      </c>
      <c r="Q223" s="7" t="s">
        <v>31</v>
      </c>
      <c r="R223" s="7" t="s">
        <v>32</v>
      </c>
      <c r="S223" s="7" t="s">
        <v>33</v>
      </c>
      <c r="T223" s="7"/>
      <c r="U223" s="7" t="s">
        <v>34</v>
      </c>
      <c r="V223" s="9">
        <v>4456.45</v>
      </c>
      <c r="W223" s="9">
        <v>1921.62</v>
      </c>
      <c r="X223" s="9">
        <v>1774.56</v>
      </c>
      <c r="Y223" s="7">
        <v>0</v>
      </c>
      <c r="Z223" s="7">
        <v>760.27</v>
      </c>
    </row>
    <row r="224" spans="1:26" x14ac:dyDescent="0.35">
      <c r="A224" s="7" t="s">
        <v>27</v>
      </c>
      <c r="B224" s="7" t="s">
        <v>28</v>
      </c>
      <c r="C224" s="7" t="s">
        <v>54</v>
      </c>
      <c r="D224" s="7" t="s">
        <v>55</v>
      </c>
      <c r="E224" s="7" t="s">
        <v>38</v>
      </c>
      <c r="F224" s="7" t="s">
        <v>311</v>
      </c>
      <c r="G224" s="7">
        <v>2021</v>
      </c>
      <c r="H224" s="7" t="str">
        <f>CONCATENATE("14240353269")</f>
        <v>14240353269</v>
      </c>
      <c r="I224" s="7" t="s">
        <v>29</v>
      </c>
      <c r="J224" s="7" t="s">
        <v>30</v>
      </c>
      <c r="K224" s="7" t="str">
        <f>CONCATENATE("")</f>
        <v/>
      </c>
      <c r="L224" s="7" t="str">
        <f>CONCATENATE("10 10.1 4a")</f>
        <v>10 10.1 4a</v>
      </c>
      <c r="M224" s="7" t="str">
        <f>CONCATENATE("FLPDVD92M27A462T")</f>
        <v>FLPDVD92M27A462T</v>
      </c>
      <c r="N224" s="7" t="s">
        <v>312</v>
      </c>
      <c r="O224" s="7"/>
      <c r="P224" s="8">
        <v>44522</v>
      </c>
      <c r="Q224" s="7" t="s">
        <v>31</v>
      </c>
      <c r="R224" s="7" t="s">
        <v>32</v>
      </c>
      <c r="S224" s="7" t="s">
        <v>33</v>
      </c>
      <c r="T224" s="7"/>
      <c r="U224" s="7" t="s">
        <v>34</v>
      </c>
      <c r="V224" s="9">
        <v>1482.09</v>
      </c>
      <c r="W224" s="7">
        <v>639.08000000000004</v>
      </c>
      <c r="X224" s="7">
        <v>590.16999999999996</v>
      </c>
      <c r="Y224" s="7">
        <v>0</v>
      </c>
      <c r="Z224" s="7">
        <v>252.84</v>
      </c>
    </row>
    <row r="225" spans="1:26" x14ac:dyDescent="0.35">
      <c r="A225" s="7" t="s">
        <v>27</v>
      </c>
      <c r="B225" s="7" t="s">
        <v>28</v>
      </c>
      <c r="C225" s="7" t="s">
        <v>54</v>
      </c>
      <c r="D225" s="7" t="s">
        <v>139</v>
      </c>
      <c r="E225" s="7" t="s">
        <v>37</v>
      </c>
      <c r="F225" s="7" t="s">
        <v>45</v>
      </c>
      <c r="G225" s="7">
        <v>2021</v>
      </c>
      <c r="H225" s="7" t="str">
        <f>CONCATENATE("14240377177")</f>
        <v>14240377177</v>
      </c>
      <c r="I225" s="7" t="s">
        <v>29</v>
      </c>
      <c r="J225" s="7" t="s">
        <v>30</v>
      </c>
      <c r="K225" s="7" t="str">
        <f>CONCATENATE("")</f>
        <v/>
      </c>
      <c r="L225" s="7" t="str">
        <f>CONCATENATE("10 10.1 4a")</f>
        <v>10 10.1 4a</v>
      </c>
      <c r="M225" s="7" t="str">
        <f>CONCATENATE("CPPNNA66H65A329N")</f>
        <v>CPPNNA66H65A329N</v>
      </c>
      <c r="N225" s="7" t="s">
        <v>313</v>
      </c>
      <c r="O225" s="7"/>
      <c r="P225" s="8">
        <v>44522</v>
      </c>
      <c r="Q225" s="7" t="s">
        <v>31</v>
      </c>
      <c r="R225" s="7" t="s">
        <v>32</v>
      </c>
      <c r="S225" s="7" t="s">
        <v>33</v>
      </c>
      <c r="T225" s="7"/>
      <c r="U225" s="7" t="s">
        <v>34</v>
      </c>
      <c r="V225" s="7">
        <v>329.97</v>
      </c>
      <c r="W225" s="7">
        <v>142.28</v>
      </c>
      <c r="X225" s="7">
        <v>131.38999999999999</v>
      </c>
      <c r="Y225" s="7">
        <v>0</v>
      </c>
      <c r="Z225" s="7">
        <v>56.3</v>
      </c>
    </row>
    <row r="226" spans="1:26" x14ac:dyDescent="0.35">
      <c r="A226" s="7" t="s">
        <v>27</v>
      </c>
      <c r="B226" s="7" t="s">
        <v>28</v>
      </c>
      <c r="C226" s="7" t="s">
        <v>54</v>
      </c>
      <c r="D226" s="7" t="s">
        <v>118</v>
      </c>
      <c r="E226" s="7" t="s">
        <v>36</v>
      </c>
      <c r="F226" s="7" t="s">
        <v>127</v>
      </c>
      <c r="G226" s="7">
        <v>2021</v>
      </c>
      <c r="H226" s="7" t="str">
        <f>CONCATENATE("14240381666")</f>
        <v>14240381666</v>
      </c>
      <c r="I226" s="7" t="s">
        <v>29</v>
      </c>
      <c r="J226" s="7" t="s">
        <v>30</v>
      </c>
      <c r="K226" s="7" t="str">
        <f>CONCATENATE("")</f>
        <v/>
      </c>
      <c r="L226" s="7" t="str">
        <f>CONCATENATE("10 10.1 4a")</f>
        <v>10 10.1 4a</v>
      </c>
      <c r="M226" s="7" t="str">
        <f>CONCATENATE("RFFJCB96T25L500S")</f>
        <v>RFFJCB96T25L500S</v>
      </c>
      <c r="N226" s="7" t="s">
        <v>314</v>
      </c>
      <c r="O226" s="7"/>
      <c r="P226" s="8">
        <v>44522</v>
      </c>
      <c r="Q226" s="7" t="s">
        <v>31</v>
      </c>
      <c r="R226" s="7" t="s">
        <v>32</v>
      </c>
      <c r="S226" s="7" t="s">
        <v>33</v>
      </c>
      <c r="T226" s="7"/>
      <c r="U226" s="7" t="s">
        <v>34</v>
      </c>
      <c r="V226" s="7">
        <v>170</v>
      </c>
      <c r="W226" s="7">
        <v>73.3</v>
      </c>
      <c r="X226" s="7">
        <v>67.69</v>
      </c>
      <c r="Y226" s="7">
        <v>0</v>
      </c>
      <c r="Z226" s="7">
        <v>29.01</v>
      </c>
    </row>
    <row r="227" spans="1:26" x14ac:dyDescent="0.35">
      <c r="A227" s="7" t="s">
        <v>27</v>
      </c>
      <c r="B227" s="7" t="s">
        <v>28</v>
      </c>
      <c r="C227" s="7" t="s">
        <v>54</v>
      </c>
      <c r="D227" s="7" t="s">
        <v>139</v>
      </c>
      <c r="E227" s="7" t="s">
        <v>37</v>
      </c>
      <c r="F227" s="7" t="s">
        <v>53</v>
      </c>
      <c r="G227" s="7">
        <v>2021</v>
      </c>
      <c r="H227" s="7" t="str">
        <f>CONCATENATE("14240391673")</f>
        <v>14240391673</v>
      </c>
      <c r="I227" s="7" t="s">
        <v>29</v>
      </c>
      <c r="J227" s="7" t="s">
        <v>30</v>
      </c>
      <c r="K227" s="7" t="str">
        <f>CONCATENATE("")</f>
        <v/>
      </c>
      <c r="L227" s="7" t="str">
        <f>CONCATENATE("10 10.1 4a")</f>
        <v>10 10.1 4a</v>
      </c>
      <c r="M227" s="7" t="str">
        <f>CONCATENATE("PRSMHL86S54I156V")</f>
        <v>PRSMHL86S54I156V</v>
      </c>
      <c r="N227" s="7" t="s">
        <v>315</v>
      </c>
      <c r="O227" s="7"/>
      <c r="P227" s="8">
        <v>44522</v>
      </c>
      <c r="Q227" s="7" t="s">
        <v>31</v>
      </c>
      <c r="R227" s="7" t="s">
        <v>32</v>
      </c>
      <c r="S227" s="7" t="s">
        <v>33</v>
      </c>
      <c r="T227" s="7"/>
      <c r="U227" s="7" t="s">
        <v>34</v>
      </c>
      <c r="V227" s="9">
        <v>2805</v>
      </c>
      <c r="W227" s="9">
        <v>1209.52</v>
      </c>
      <c r="X227" s="9">
        <v>1116.95</v>
      </c>
      <c r="Y227" s="7">
        <v>0</v>
      </c>
      <c r="Z227" s="7">
        <v>478.53</v>
      </c>
    </row>
    <row r="228" spans="1:26" x14ac:dyDescent="0.35">
      <c r="A228" s="7" t="s">
        <v>27</v>
      </c>
      <c r="B228" s="7" t="s">
        <v>28</v>
      </c>
      <c r="C228" s="7" t="s">
        <v>54</v>
      </c>
      <c r="D228" s="7" t="s">
        <v>139</v>
      </c>
      <c r="E228" s="7" t="s">
        <v>36</v>
      </c>
      <c r="F228" s="7" t="s">
        <v>167</v>
      </c>
      <c r="G228" s="7">
        <v>2021</v>
      </c>
      <c r="H228" s="7" t="str">
        <f>CONCATENATE("14240501842")</f>
        <v>14240501842</v>
      </c>
      <c r="I228" s="7" t="s">
        <v>29</v>
      </c>
      <c r="J228" s="7" t="s">
        <v>30</v>
      </c>
      <c r="K228" s="7" t="str">
        <f>CONCATENATE("")</f>
        <v/>
      </c>
      <c r="L228" s="7" t="str">
        <f>CONCATENATE("10 10.1 4a")</f>
        <v>10 10.1 4a</v>
      </c>
      <c r="M228" s="7" t="str">
        <f>CONCATENATE("CRTRLL51T54B398Q")</f>
        <v>CRTRLL51T54B398Q</v>
      </c>
      <c r="N228" s="7" t="s">
        <v>316</v>
      </c>
      <c r="O228" s="7"/>
      <c r="P228" s="8">
        <v>44522</v>
      </c>
      <c r="Q228" s="7" t="s">
        <v>31</v>
      </c>
      <c r="R228" s="7" t="s">
        <v>32</v>
      </c>
      <c r="S228" s="7" t="s">
        <v>33</v>
      </c>
      <c r="T228" s="7"/>
      <c r="U228" s="7" t="s">
        <v>34</v>
      </c>
      <c r="V228" s="7">
        <v>579.5</v>
      </c>
      <c r="W228" s="7">
        <v>249.88</v>
      </c>
      <c r="X228" s="7">
        <v>230.76</v>
      </c>
      <c r="Y228" s="7">
        <v>0</v>
      </c>
      <c r="Z228" s="7">
        <v>98.86</v>
      </c>
    </row>
    <row r="229" spans="1:26" x14ac:dyDescent="0.35">
      <c r="A229" s="7" t="s">
        <v>27</v>
      </c>
      <c r="B229" s="7" t="s">
        <v>28</v>
      </c>
      <c r="C229" s="7" t="s">
        <v>54</v>
      </c>
      <c r="D229" s="7" t="s">
        <v>55</v>
      </c>
      <c r="E229" s="7" t="s">
        <v>35</v>
      </c>
      <c r="F229" s="7" t="s">
        <v>47</v>
      </c>
      <c r="G229" s="7">
        <v>2021</v>
      </c>
      <c r="H229" s="7" t="str">
        <f>CONCATENATE("14240397563")</f>
        <v>14240397563</v>
      </c>
      <c r="I229" s="7" t="s">
        <v>29</v>
      </c>
      <c r="J229" s="7" t="s">
        <v>30</v>
      </c>
      <c r="K229" s="7" t="str">
        <f>CONCATENATE("")</f>
        <v/>
      </c>
      <c r="L229" s="7" t="str">
        <f>CONCATENATE("10 10.1 4a")</f>
        <v>10 10.1 4a</v>
      </c>
      <c r="M229" s="7" t="str">
        <f>CONCATENATE("02811600424")</f>
        <v>02811600424</v>
      </c>
      <c r="N229" s="7" t="s">
        <v>317</v>
      </c>
      <c r="O229" s="7"/>
      <c r="P229" s="8">
        <v>44522</v>
      </c>
      <c r="Q229" s="7" t="s">
        <v>31</v>
      </c>
      <c r="R229" s="7" t="s">
        <v>32</v>
      </c>
      <c r="S229" s="7" t="s">
        <v>33</v>
      </c>
      <c r="T229" s="7"/>
      <c r="U229" s="7" t="s">
        <v>34</v>
      </c>
      <c r="V229" s="7">
        <v>368.12</v>
      </c>
      <c r="W229" s="7">
        <v>158.72999999999999</v>
      </c>
      <c r="X229" s="7">
        <v>146.59</v>
      </c>
      <c r="Y229" s="7">
        <v>0</v>
      </c>
      <c r="Z229" s="7">
        <v>62.8</v>
      </c>
    </row>
    <row r="230" spans="1:26" x14ac:dyDescent="0.35">
      <c r="A230" s="7" t="s">
        <v>27</v>
      </c>
      <c r="B230" s="7" t="s">
        <v>28</v>
      </c>
      <c r="C230" s="7" t="s">
        <v>54</v>
      </c>
      <c r="D230" s="7" t="s">
        <v>139</v>
      </c>
      <c r="E230" s="7" t="s">
        <v>36</v>
      </c>
      <c r="F230" s="7" t="s">
        <v>184</v>
      </c>
      <c r="G230" s="7">
        <v>2021</v>
      </c>
      <c r="H230" s="7" t="str">
        <f>CONCATENATE("14240416967")</f>
        <v>14240416967</v>
      </c>
      <c r="I230" s="7" t="s">
        <v>29</v>
      </c>
      <c r="J230" s="7" t="s">
        <v>30</v>
      </c>
      <c r="K230" s="7" t="str">
        <f>CONCATENATE("")</f>
        <v/>
      </c>
      <c r="L230" s="7" t="str">
        <f>CONCATENATE("10 10.1 4a")</f>
        <v>10 10.1 4a</v>
      </c>
      <c r="M230" s="7" t="str">
        <f>CONCATENATE("FCNLSN56L12B160E")</f>
        <v>FCNLSN56L12B160E</v>
      </c>
      <c r="N230" s="7" t="s">
        <v>318</v>
      </c>
      <c r="O230" s="7"/>
      <c r="P230" s="8">
        <v>44522</v>
      </c>
      <c r="Q230" s="7" t="s">
        <v>31</v>
      </c>
      <c r="R230" s="7" t="s">
        <v>32</v>
      </c>
      <c r="S230" s="7" t="s">
        <v>33</v>
      </c>
      <c r="T230" s="7"/>
      <c r="U230" s="7" t="s">
        <v>34</v>
      </c>
      <c r="V230" s="7">
        <v>765</v>
      </c>
      <c r="W230" s="7">
        <v>329.87</v>
      </c>
      <c r="X230" s="7">
        <v>304.62</v>
      </c>
      <c r="Y230" s="7">
        <v>0</v>
      </c>
      <c r="Z230" s="7">
        <v>130.51</v>
      </c>
    </row>
    <row r="231" spans="1:26" x14ac:dyDescent="0.35">
      <c r="A231" s="7" t="s">
        <v>27</v>
      </c>
      <c r="B231" s="7" t="s">
        <v>28</v>
      </c>
      <c r="C231" s="7" t="s">
        <v>54</v>
      </c>
      <c r="D231" s="7" t="s">
        <v>139</v>
      </c>
      <c r="E231" s="7" t="s">
        <v>37</v>
      </c>
      <c r="F231" s="7" t="s">
        <v>45</v>
      </c>
      <c r="G231" s="7">
        <v>2021</v>
      </c>
      <c r="H231" s="7" t="str">
        <f>CONCATENATE("14240426677")</f>
        <v>14240426677</v>
      </c>
      <c r="I231" s="7" t="s">
        <v>29</v>
      </c>
      <c r="J231" s="7" t="s">
        <v>30</v>
      </c>
      <c r="K231" s="7" t="str">
        <f>CONCATENATE("")</f>
        <v/>
      </c>
      <c r="L231" s="7" t="str">
        <f>CONCATENATE("10 10.1 4a")</f>
        <v>10 10.1 4a</v>
      </c>
      <c r="M231" s="7" t="str">
        <f>CONCATENATE("PRNFNC76R08L191H")</f>
        <v>PRNFNC76R08L191H</v>
      </c>
      <c r="N231" s="7" t="s">
        <v>319</v>
      </c>
      <c r="O231" s="7"/>
      <c r="P231" s="8">
        <v>44522</v>
      </c>
      <c r="Q231" s="7" t="s">
        <v>31</v>
      </c>
      <c r="R231" s="7" t="s">
        <v>32</v>
      </c>
      <c r="S231" s="7" t="s">
        <v>33</v>
      </c>
      <c r="T231" s="7"/>
      <c r="U231" s="7" t="s">
        <v>34</v>
      </c>
      <c r="V231" s="7">
        <v>473.48</v>
      </c>
      <c r="W231" s="7">
        <v>204.16</v>
      </c>
      <c r="X231" s="7">
        <v>188.54</v>
      </c>
      <c r="Y231" s="7">
        <v>0</v>
      </c>
      <c r="Z231" s="7">
        <v>80.78</v>
      </c>
    </row>
    <row r="232" spans="1:26" x14ac:dyDescent="0.35">
      <c r="A232" s="7" t="s">
        <v>27</v>
      </c>
      <c r="B232" s="7" t="s">
        <v>28</v>
      </c>
      <c r="C232" s="7" t="s">
        <v>54</v>
      </c>
      <c r="D232" s="7" t="s">
        <v>55</v>
      </c>
      <c r="E232" s="7" t="s">
        <v>35</v>
      </c>
      <c r="F232" s="7" t="s">
        <v>47</v>
      </c>
      <c r="G232" s="7">
        <v>2021</v>
      </c>
      <c r="H232" s="7" t="str">
        <f>CONCATENATE("14240429812")</f>
        <v>14240429812</v>
      </c>
      <c r="I232" s="7" t="s">
        <v>29</v>
      </c>
      <c r="J232" s="7" t="s">
        <v>30</v>
      </c>
      <c r="K232" s="7" t="str">
        <f>CONCATENATE("")</f>
        <v/>
      </c>
      <c r="L232" s="7" t="str">
        <f>CONCATENATE("10 10.1 4a")</f>
        <v>10 10.1 4a</v>
      </c>
      <c r="M232" s="7" t="str">
        <f>CONCATENATE("CRDTRS63T48H501T")</f>
        <v>CRDTRS63T48H501T</v>
      </c>
      <c r="N232" s="7" t="s">
        <v>320</v>
      </c>
      <c r="O232" s="7"/>
      <c r="P232" s="8">
        <v>44522</v>
      </c>
      <c r="Q232" s="7" t="s">
        <v>31</v>
      </c>
      <c r="R232" s="7" t="s">
        <v>32</v>
      </c>
      <c r="S232" s="7" t="s">
        <v>33</v>
      </c>
      <c r="T232" s="7"/>
      <c r="U232" s="7" t="s">
        <v>34</v>
      </c>
      <c r="V232" s="7">
        <v>591.70000000000005</v>
      </c>
      <c r="W232" s="7">
        <v>255.14</v>
      </c>
      <c r="X232" s="7">
        <v>235.61</v>
      </c>
      <c r="Y232" s="7">
        <v>0</v>
      </c>
      <c r="Z232" s="7">
        <v>100.95</v>
      </c>
    </row>
    <row r="233" spans="1:26" x14ac:dyDescent="0.35">
      <c r="A233" s="7" t="s">
        <v>27</v>
      </c>
      <c r="B233" s="7" t="s">
        <v>28</v>
      </c>
      <c r="C233" s="7" t="s">
        <v>54</v>
      </c>
      <c r="D233" s="7" t="s">
        <v>118</v>
      </c>
      <c r="E233" s="7" t="s">
        <v>37</v>
      </c>
      <c r="F233" s="7" t="s">
        <v>125</v>
      </c>
      <c r="G233" s="7">
        <v>2021</v>
      </c>
      <c r="H233" s="7" t="str">
        <f>CONCATENATE("14240438128")</f>
        <v>14240438128</v>
      </c>
      <c r="I233" s="7" t="s">
        <v>29</v>
      </c>
      <c r="J233" s="7" t="s">
        <v>30</v>
      </c>
      <c r="K233" s="7" t="str">
        <f>CONCATENATE("")</f>
        <v/>
      </c>
      <c r="L233" s="7" t="str">
        <f>CONCATENATE("10 10.1 4a")</f>
        <v>10 10.1 4a</v>
      </c>
      <c r="M233" s="7" t="str">
        <f>CONCATENATE("02588960415")</f>
        <v>02588960415</v>
      </c>
      <c r="N233" s="7" t="s">
        <v>321</v>
      </c>
      <c r="O233" s="7"/>
      <c r="P233" s="8">
        <v>44522</v>
      </c>
      <c r="Q233" s="7" t="s">
        <v>31</v>
      </c>
      <c r="R233" s="7" t="s">
        <v>32</v>
      </c>
      <c r="S233" s="7" t="s">
        <v>33</v>
      </c>
      <c r="T233" s="7"/>
      <c r="U233" s="7" t="s">
        <v>34</v>
      </c>
      <c r="V233" s="9">
        <v>1253.6099999999999</v>
      </c>
      <c r="W233" s="7">
        <v>540.55999999999995</v>
      </c>
      <c r="X233" s="7">
        <v>499.19</v>
      </c>
      <c r="Y233" s="7">
        <v>0</v>
      </c>
      <c r="Z233" s="7">
        <v>213.86</v>
      </c>
    </row>
    <row r="234" spans="1:26" x14ac:dyDescent="0.35">
      <c r="A234" s="7" t="s">
        <v>27</v>
      </c>
      <c r="B234" s="7" t="s">
        <v>28</v>
      </c>
      <c r="C234" s="7" t="s">
        <v>54</v>
      </c>
      <c r="D234" s="7" t="s">
        <v>139</v>
      </c>
      <c r="E234" s="7" t="s">
        <v>37</v>
      </c>
      <c r="F234" s="7" t="s">
        <v>53</v>
      </c>
      <c r="G234" s="7">
        <v>2021</v>
      </c>
      <c r="H234" s="7" t="str">
        <f>CONCATENATE("14240440801")</f>
        <v>14240440801</v>
      </c>
      <c r="I234" s="7" t="s">
        <v>29</v>
      </c>
      <c r="J234" s="7" t="s">
        <v>30</v>
      </c>
      <c r="K234" s="7" t="str">
        <f>CONCATENATE("")</f>
        <v/>
      </c>
      <c r="L234" s="7" t="str">
        <f>CONCATENATE("10 10.1 4a")</f>
        <v>10 10.1 4a</v>
      </c>
      <c r="M234" s="7" t="str">
        <f>CONCATENATE("LTTGNB95T03B474H")</f>
        <v>LTTGNB95T03B474H</v>
      </c>
      <c r="N234" s="7" t="s">
        <v>322</v>
      </c>
      <c r="O234" s="7"/>
      <c r="P234" s="8">
        <v>44522</v>
      </c>
      <c r="Q234" s="7" t="s">
        <v>31</v>
      </c>
      <c r="R234" s="7" t="s">
        <v>32</v>
      </c>
      <c r="S234" s="7" t="s">
        <v>33</v>
      </c>
      <c r="T234" s="7"/>
      <c r="U234" s="7" t="s">
        <v>34</v>
      </c>
      <c r="V234" s="9">
        <v>1870</v>
      </c>
      <c r="W234" s="7">
        <v>806.34</v>
      </c>
      <c r="X234" s="7">
        <v>744.63</v>
      </c>
      <c r="Y234" s="7">
        <v>0</v>
      </c>
      <c r="Z234" s="7">
        <v>319.02999999999997</v>
      </c>
    </row>
    <row r="235" spans="1:26" x14ac:dyDescent="0.35">
      <c r="A235" s="7" t="s">
        <v>27</v>
      </c>
      <c r="B235" s="7" t="s">
        <v>28</v>
      </c>
      <c r="C235" s="7" t="s">
        <v>54</v>
      </c>
      <c r="D235" s="7" t="s">
        <v>139</v>
      </c>
      <c r="E235" s="7" t="s">
        <v>36</v>
      </c>
      <c r="F235" s="7" t="s">
        <v>184</v>
      </c>
      <c r="G235" s="7">
        <v>2021</v>
      </c>
      <c r="H235" s="7" t="str">
        <f>CONCATENATE("14240440546")</f>
        <v>14240440546</v>
      </c>
      <c r="I235" s="7" t="s">
        <v>29</v>
      </c>
      <c r="J235" s="7" t="s">
        <v>30</v>
      </c>
      <c r="K235" s="7" t="str">
        <f>CONCATENATE("")</f>
        <v/>
      </c>
      <c r="L235" s="7" t="str">
        <f>CONCATENATE("10 10.1 4a")</f>
        <v>10 10.1 4a</v>
      </c>
      <c r="M235" s="7" t="str">
        <f>CONCATENATE("CRDMRA51R04H876Y")</f>
        <v>CRDMRA51R04H876Y</v>
      </c>
      <c r="N235" s="7" t="s">
        <v>323</v>
      </c>
      <c r="O235" s="7"/>
      <c r="P235" s="8">
        <v>44522</v>
      </c>
      <c r="Q235" s="7" t="s">
        <v>31</v>
      </c>
      <c r="R235" s="7" t="s">
        <v>32</v>
      </c>
      <c r="S235" s="7" t="s">
        <v>33</v>
      </c>
      <c r="T235" s="7"/>
      <c r="U235" s="7" t="s">
        <v>34</v>
      </c>
      <c r="V235" s="9">
        <v>1606.5</v>
      </c>
      <c r="W235" s="7">
        <v>692.72</v>
      </c>
      <c r="X235" s="7">
        <v>639.71</v>
      </c>
      <c r="Y235" s="7">
        <v>0</v>
      </c>
      <c r="Z235" s="7">
        <v>274.07</v>
      </c>
    </row>
    <row r="236" spans="1:26" ht="17.5" x14ac:dyDescent="0.35">
      <c r="A236" s="7" t="s">
        <v>27</v>
      </c>
      <c r="B236" s="7" t="s">
        <v>28</v>
      </c>
      <c r="C236" s="7" t="s">
        <v>54</v>
      </c>
      <c r="D236" s="7" t="s">
        <v>139</v>
      </c>
      <c r="E236" s="7" t="s">
        <v>35</v>
      </c>
      <c r="F236" s="7" t="s">
        <v>158</v>
      </c>
      <c r="G236" s="7">
        <v>2021</v>
      </c>
      <c r="H236" s="7" t="str">
        <f>CONCATENATE("14240465626")</f>
        <v>14240465626</v>
      </c>
      <c r="I236" s="7" t="s">
        <v>29</v>
      </c>
      <c r="J236" s="7" t="s">
        <v>30</v>
      </c>
      <c r="K236" s="7" t="str">
        <f>CONCATENATE("")</f>
        <v/>
      </c>
      <c r="L236" s="7" t="str">
        <f>CONCATENATE("10 10.1 4a")</f>
        <v>10 10.1 4a</v>
      </c>
      <c r="M236" s="7" t="str">
        <f>CONCATENATE("01003530431")</f>
        <v>01003530431</v>
      </c>
      <c r="N236" s="7" t="s">
        <v>324</v>
      </c>
      <c r="O236" s="7"/>
      <c r="P236" s="8">
        <v>44522</v>
      </c>
      <c r="Q236" s="7" t="s">
        <v>31</v>
      </c>
      <c r="R236" s="7" t="s">
        <v>32</v>
      </c>
      <c r="S236" s="7" t="s">
        <v>33</v>
      </c>
      <c r="T236" s="7"/>
      <c r="U236" s="7" t="s">
        <v>34</v>
      </c>
      <c r="V236" s="7">
        <v>166.26</v>
      </c>
      <c r="W236" s="7">
        <v>71.69</v>
      </c>
      <c r="X236" s="7">
        <v>66.2</v>
      </c>
      <c r="Y236" s="7">
        <v>0</v>
      </c>
      <c r="Z236" s="7">
        <v>28.37</v>
      </c>
    </row>
    <row r="237" spans="1:26" x14ac:dyDescent="0.35">
      <c r="A237" s="7" t="s">
        <v>27</v>
      </c>
      <c r="B237" s="7" t="s">
        <v>28</v>
      </c>
      <c r="C237" s="7" t="s">
        <v>54</v>
      </c>
      <c r="D237" s="7" t="s">
        <v>118</v>
      </c>
      <c r="E237" s="7" t="s">
        <v>36</v>
      </c>
      <c r="F237" s="7" t="s">
        <v>127</v>
      </c>
      <c r="G237" s="7">
        <v>2021</v>
      </c>
      <c r="H237" s="7" t="str">
        <f>CONCATENATE("14240495227")</f>
        <v>14240495227</v>
      </c>
      <c r="I237" s="7" t="s">
        <v>29</v>
      </c>
      <c r="J237" s="7" t="s">
        <v>30</v>
      </c>
      <c r="K237" s="7" t="str">
        <f>CONCATENATE("")</f>
        <v/>
      </c>
      <c r="L237" s="7" t="str">
        <f>CONCATENATE("10 10.1 4a")</f>
        <v>10 10.1 4a</v>
      </c>
      <c r="M237" s="7" t="str">
        <f>CONCATENATE("GRRDGI81T16B352E")</f>
        <v>GRRDGI81T16B352E</v>
      </c>
      <c r="N237" s="7" t="s">
        <v>325</v>
      </c>
      <c r="O237" s="7"/>
      <c r="P237" s="8">
        <v>44522</v>
      </c>
      <c r="Q237" s="7" t="s">
        <v>31</v>
      </c>
      <c r="R237" s="7" t="s">
        <v>32</v>
      </c>
      <c r="S237" s="7" t="s">
        <v>33</v>
      </c>
      <c r="T237" s="7"/>
      <c r="U237" s="7" t="s">
        <v>34</v>
      </c>
      <c r="V237" s="7">
        <v>170</v>
      </c>
      <c r="W237" s="7">
        <v>73.3</v>
      </c>
      <c r="X237" s="7">
        <v>67.69</v>
      </c>
      <c r="Y237" s="7">
        <v>0</v>
      </c>
      <c r="Z237" s="7">
        <v>29.01</v>
      </c>
    </row>
    <row r="238" spans="1:26" x14ac:dyDescent="0.35">
      <c r="A238" s="7" t="s">
        <v>27</v>
      </c>
      <c r="B238" s="7" t="s">
        <v>28</v>
      </c>
      <c r="C238" s="7" t="s">
        <v>54</v>
      </c>
      <c r="D238" s="7" t="s">
        <v>122</v>
      </c>
      <c r="E238" s="7" t="s">
        <v>38</v>
      </c>
      <c r="F238" s="7" t="s">
        <v>135</v>
      </c>
      <c r="G238" s="7">
        <v>2021</v>
      </c>
      <c r="H238" s="7" t="str">
        <f>CONCATENATE("14240509837")</f>
        <v>14240509837</v>
      </c>
      <c r="I238" s="7" t="s">
        <v>29</v>
      </c>
      <c r="J238" s="7" t="s">
        <v>30</v>
      </c>
      <c r="K238" s="7" t="str">
        <f>CONCATENATE("")</f>
        <v/>
      </c>
      <c r="L238" s="7" t="str">
        <f>CONCATENATE("10 10.1 4a")</f>
        <v>10 10.1 4a</v>
      </c>
      <c r="M238" s="7" t="str">
        <f>CONCATENATE("02745870424")</f>
        <v>02745870424</v>
      </c>
      <c r="N238" s="7" t="s">
        <v>326</v>
      </c>
      <c r="O238" s="7"/>
      <c r="P238" s="8">
        <v>44522</v>
      </c>
      <c r="Q238" s="7" t="s">
        <v>31</v>
      </c>
      <c r="R238" s="7" t="s">
        <v>32</v>
      </c>
      <c r="S238" s="7" t="s">
        <v>33</v>
      </c>
      <c r="T238" s="7"/>
      <c r="U238" s="7" t="s">
        <v>34</v>
      </c>
      <c r="V238" s="7">
        <v>402.94</v>
      </c>
      <c r="W238" s="7">
        <v>173.75</v>
      </c>
      <c r="X238" s="7">
        <v>160.44999999999999</v>
      </c>
      <c r="Y238" s="7">
        <v>0</v>
      </c>
      <c r="Z238" s="7">
        <v>68.739999999999995</v>
      </c>
    </row>
    <row r="239" spans="1:26" x14ac:dyDescent="0.35">
      <c r="A239" s="7" t="s">
        <v>27</v>
      </c>
      <c r="B239" s="7" t="s">
        <v>28</v>
      </c>
      <c r="C239" s="7" t="s">
        <v>54</v>
      </c>
      <c r="D239" s="7" t="s">
        <v>139</v>
      </c>
      <c r="E239" s="7" t="s">
        <v>36</v>
      </c>
      <c r="F239" s="7" t="s">
        <v>184</v>
      </c>
      <c r="G239" s="7">
        <v>2021</v>
      </c>
      <c r="H239" s="7" t="str">
        <f>CONCATENATE("14240698697")</f>
        <v>14240698697</v>
      </c>
      <c r="I239" s="7" t="s">
        <v>29</v>
      </c>
      <c r="J239" s="7" t="s">
        <v>30</v>
      </c>
      <c r="K239" s="7" t="str">
        <f>CONCATENATE("")</f>
        <v/>
      </c>
      <c r="L239" s="7" t="str">
        <f>CONCATENATE("10 10.1 4a")</f>
        <v>10 10.1 4a</v>
      </c>
      <c r="M239" s="7" t="str">
        <f>CONCATENATE("BCCMRC81R17C770Y")</f>
        <v>BCCMRC81R17C770Y</v>
      </c>
      <c r="N239" s="7" t="s">
        <v>327</v>
      </c>
      <c r="O239" s="7"/>
      <c r="P239" s="8">
        <v>44522</v>
      </c>
      <c r="Q239" s="7" t="s">
        <v>31</v>
      </c>
      <c r="R239" s="7" t="s">
        <v>32</v>
      </c>
      <c r="S239" s="7" t="s">
        <v>33</v>
      </c>
      <c r="T239" s="7"/>
      <c r="U239" s="7" t="s">
        <v>34</v>
      </c>
      <c r="V239" s="7">
        <v>663.93</v>
      </c>
      <c r="W239" s="7">
        <v>286.29000000000002</v>
      </c>
      <c r="X239" s="7">
        <v>264.38</v>
      </c>
      <c r="Y239" s="7">
        <v>0</v>
      </c>
      <c r="Z239" s="7">
        <v>113.26</v>
      </c>
    </row>
    <row r="240" spans="1:26" x14ac:dyDescent="0.35">
      <c r="A240" s="7" t="s">
        <v>27</v>
      </c>
      <c r="B240" s="7" t="s">
        <v>28</v>
      </c>
      <c r="C240" s="7" t="s">
        <v>54</v>
      </c>
      <c r="D240" s="7" t="s">
        <v>139</v>
      </c>
      <c r="E240" s="7" t="s">
        <v>36</v>
      </c>
      <c r="F240" s="7" t="s">
        <v>167</v>
      </c>
      <c r="G240" s="7">
        <v>2021</v>
      </c>
      <c r="H240" s="7" t="str">
        <f>CONCATENATE("14241188409")</f>
        <v>14241188409</v>
      </c>
      <c r="I240" s="7" t="s">
        <v>29</v>
      </c>
      <c r="J240" s="7" t="s">
        <v>30</v>
      </c>
      <c r="K240" s="7" t="str">
        <f>CONCATENATE("")</f>
        <v/>
      </c>
      <c r="L240" s="7" t="str">
        <f>CONCATENATE("10 10.1 4a")</f>
        <v>10 10.1 4a</v>
      </c>
      <c r="M240" s="7" t="str">
        <f>CONCATENATE("PCCMRA92S19L191D")</f>
        <v>PCCMRA92S19L191D</v>
      </c>
      <c r="N240" s="7" t="s">
        <v>328</v>
      </c>
      <c r="O240" s="7"/>
      <c r="P240" s="8">
        <v>44522</v>
      </c>
      <c r="Q240" s="7" t="s">
        <v>31</v>
      </c>
      <c r="R240" s="7" t="s">
        <v>32</v>
      </c>
      <c r="S240" s="7" t="s">
        <v>33</v>
      </c>
      <c r="T240" s="7"/>
      <c r="U240" s="7" t="s">
        <v>34</v>
      </c>
      <c r="V240" s="7">
        <v>251.91</v>
      </c>
      <c r="W240" s="7">
        <v>108.62</v>
      </c>
      <c r="X240" s="7">
        <v>100.31</v>
      </c>
      <c r="Y240" s="7">
        <v>0</v>
      </c>
      <c r="Z240" s="7">
        <v>42.98</v>
      </c>
    </row>
    <row r="241" spans="1:26" x14ac:dyDescent="0.35">
      <c r="A241" s="7" t="s">
        <v>27</v>
      </c>
      <c r="B241" s="7" t="s">
        <v>28</v>
      </c>
      <c r="C241" s="7" t="s">
        <v>54</v>
      </c>
      <c r="D241" s="7" t="s">
        <v>122</v>
      </c>
      <c r="E241" s="7" t="s">
        <v>38</v>
      </c>
      <c r="F241" s="7" t="s">
        <v>135</v>
      </c>
      <c r="G241" s="7">
        <v>2021</v>
      </c>
      <c r="H241" s="7" t="str">
        <f>CONCATENATE("14240551177")</f>
        <v>14240551177</v>
      </c>
      <c r="I241" s="7" t="s">
        <v>29</v>
      </c>
      <c r="J241" s="7" t="s">
        <v>30</v>
      </c>
      <c r="K241" s="7" t="str">
        <f>CONCATENATE("")</f>
        <v/>
      </c>
      <c r="L241" s="7" t="str">
        <f>CONCATENATE("10 10.1 4a")</f>
        <v>10 10.1 4a</v>
      </c>
      <c r="M241" s="7" t="str">
        <f>CONCATENATE("SLTRRT58B19Z120W")</f>
        <v>SLTRRT58B19Z120W</v>
      </c>
      <c r="N241" s="7" t="s">
        <v>329</v>
      </c>
      <c r="O241" s="7"/>
      <c r="P241" s="8">
        <v>44522</v>
      </c>
      <c r="Q241" s="7" t="s">
        <v>31</v>
      </c>
      <c r="R241" s="7" t="s">
        <v>32</v>
      </c>
      <c r="S241" s="7" t="s">
        <v>33</v>
      </c>
      <c r="T241" s="7"/>
      <c r="U241" s="7" t="s">
        <v>34</v>
      </c>
      <c r="V241" s="7">
        <v>192.54</v>
      </c>
      <c r="W241" s="7">
        <v>83.02</v>
      </c>
      <c r="X241" s="7">
        <v>76.67</v>
      </c>
      <c r="Y241" s="7">
        <v>0</v>
      </c>
      <c r="Z241" s="7">
        <v>32.85</v>
      </c>
    </row>
    <row r="242" spans="1:26" x14ac:dyDescent="0.35">
      <c r="A242" s="7" t="s">
        <v>27</v>
      </c>
      <c r="B242" s="7" t="s">
        <v>28</v>
      </c>
      <c r="C242" s="7" t="s">
        <v>54</v>
      </c>
      <c r="D242" s="7" t="s">
        <v>118</v>
      </c>
      <c r="E242" s="7" t="s">
        <v>38</v>
      </c>
      <c r="F242" s="7" t="s">
        <v>144</v>
      </c>
      <c r="G242" s="7">
        <v>2021</v>
      </c>
      <c r="H242" s="7" t="str">
        <f>CONCATENATE("14240669334")</f>
        <v>14240669334</v>
      </c>
      <c r="I242" s="7" t="s">
        <v>29</v>
      </c>
      <c r="J242" s="7" t="s">
        <v>30</v>
      </c>
      <c r="K242" s="7" t="str">
        <f>CONCATENATE("")</f>
        <v/>
      </c>
      <c r="L242" s="7" t="str">
        <f>CONCATENATE("10 10.1 4a")</f>
        <v>10 10.1 4a</v>
      </c>
      <c r="M242" s="7" t="str">
        <f>CONCATENATE("LCRGCM79M16B352L")</f>
        <v>LCRGCM79M16B352L</v>
      </c>
      <c r="N242" s="7" t="s">
        <v>330</v>
      </c>
      <c r="O242" s="7"/>
      <c r="P242" s="8">
        <v>44522</v>
      </c>
      <c r="Q242" s="7" t="s">
        <v>31</v>
      </c>
      <c r="R242" s="7" t="s">
        <v>32</v>
      </c>
      <c r="S242" s="7" t="s">
        <v>33</v>
      </c>
      <c r="T242" s="7"/>
      <c r="U242" s="7" t="s">
        <v>34</v>
      </c>
      <c r="V242" s="9">
        <v>1190</v>
      </c>
      <c r="W242" s="7">
        <v>513.13</v>
      </c>
      <c r="X242" s="7">
        <v>473.86</v>
      </c>
      <c r="Y242" s="7">
        <v>0</v>
      </c>
      <c r="Z242" s="7">
        <v>203.01</v>
      </c>
    </row>
    <row r="243" spans="1:26" x14ac:dyDescent="0.35">
      <c r="A243" s="7" t="s">
        <v>27</v>
      </c>
      <c r="B243" s="7" t="s">
        <v>28</v>
      </c>
      <c r="C243" s="7" t="s">
        <v>54</v>
      </c>
      <c r="D243" s="7" t="s">
        <v>122</v>
      </c>
      <c r="E243" s="7" t="s">
        <v>38</v>
      </c>
      <c r="F243" s="7" t="s">
        <v>207</v>
      </c>
      <c r="G243" s="7">
        <v>2021</v>
      </c>
      <c r="H243" s="7" t="str">
        <f>CONCATENATE("14240559865")</f>
        <v>14240559865</v>
      </c>
      <c r="I243" s="7" t="s">
        <v>29</v>
      </c>
      <c r="J243" s="7" t="s">
        <v>30</v>
      </c>
      <c r="K243" s="7" t="str">
        <f>CONCATENATE("")</f>
        <v/>
      </c>
      <c r="L243" s="7" t="str">
        <f>CONCATENATE("10 10.1 4a")</f>
        <v>10 10.1 4a</v>
      </c>
      <c r="M243" s="7" t="str">
        <f>CONCATENATE("CRCLSN87E42I608T")</f>
        <v>CRCLSN87E42I608T</v>
      </c>
      <c r="N243" s="7" t="s">
        <v>331</v>
      </c>
      <c r="O243" s="7"/>
      <c r="P243" s="8">
        <v>44522</v>
      </c>
      <c r="Q243" s="7" t="s">
        <v>31</v>
      </c>
      <c r="R243" s="7" t="s">
        <v>32</v>
      </c>
      <c r="S243" s="7" t="s">
        <v>33</v>
      </c>
      <c r="T243" s="7"/>
      <c r="U243" s="7" t="s">
        <v>34</v>
      </c>
      <c r="V243" s="7">
        <v>316.18</v>
      </c>
      <c r="W243" s="7">
        <v>136.34</v>
      </c>
      <c r="X243" s="7">
        <v>125.9</v>
      </c>
      <c r="Y243" s="7">
        <v>0</v>
      </c>
      <c r="Z243" s="7">
        <v>53.94</v>
      </c>
    </row>
    <row r="244" spans="1:26" x14ac:dyDescent="0.35">
      <c r="A244" s="7" t="s">
        <v>27</v>
      </c>
      <c r="B244" s="7" t="s">
        <v>28</v>
      </c>
      <c r="C244" s="7" t="s">
        <v>54</v>
      </c>
      <c r="D244" s="7" t="s">
        <v>122</v>
      </c>
      <c r="E244" s="7" t="s">
        <v>38</v>
      </c>
      <c r="F244" s="7" t="s">
        <v>207</v>
      </c>
      <c r="G244" s="7">
        <v>2021</v>
      </c>
      <c r="H244" s="7" t="str">
        <f>CONCATENATE("14240565649")</f>
        <v>14240565649</v>
      </c>
      <c r="I244" s="7" t="s">
        <v>29</v>
      </c>
      <c r="J244" s="7" t="s">
        <v>30</v>
      </c>
      <c r="K244" s="7" t="str">
        <f>CONCATENATE("")</f>
        <v/>
      </c>
      <c r="L244" s="7" t="str">
        <f>CONCATENATE("10 10.1 4a")</f>
        <v>10 10.1 4a</v>
      </c>
      <c r="M244" s="7" t="str">
        <f>CONCATENATE("SNTRRT76H57A271B")</f>
        <v>SNTRRT76H57A271B</v>
      </c>
      <c r="N244" s="7" t="s">
        <v>332</v>
      </c>
      <c r="O244" s="7"/>
      <c r="P244" s="8">
        <v>44522</v>
      </c>
      <c r="Q244" s="7" t="s">
        <v>31</v>
      </c>
      <c r="R244" s="7" t="s">
        <v>32</v>
      </c>
      <c r="S244" s="7" t="s">
        <v>33</v>
      </c>
      <c r="T244" s="7"/>
      <c r="U244" s="7" t="s">
        <v>34</v>
      </c>
      <c r="V244" s="7">
        <v>342.03</v>
      </c>
      <c r="W244" s="7">
        <v>147.47999999999999</v>
      </c>
      <c r="X244" s="7">
        <v>136.19999999999999</v>
      </c>
      <c r="Y244" s="7">
        <v>0</v>
      </c>
      <c r="Z244" s="7">
        <v>58.35</v>
      </c>
    </row>
    <row r="245" spans="1:26" x14ac:dyDescent="0.35">
      <c r="A245" s="7" t="s">
        <v>27</v>
      </c>
      <c r="B245" s="7" t="s">
        <v>28</v>
      </c>
      <c r="C245" s="7" t="s">
        <v>54</v>
      </c>
      <c r="D245" s="7" t="s">
        <v>139</v>
      </c>
      <c r="E245" s="7" t="s">
        <v>40</v>
      </c>
      <c r="F245" s="7" t="s">
        <v>193</v>
      </c>
      <c r="G245" s="7">
        <v>2021</v>
      </c>
      <c r="H245" s="7" t="str">
        <f>CONCATENATE("14240568809")</f>
        <v>14240568809</v>
      </c>
      <c r="I245" s="7" t="s">
        <v>29</v>
      </c>
      <c r="J245" s="7" t="s">
        <v>30</v>
      </c>
      <c r="K245" s="7" t="str">
        <f>CONCATENATE("")</f>
        <v/>
      </c>
      <c r="L245" s="7" t="str">
        <f>CONCATENATE("10 10.1 4a")</f>
        <v>10 10.1 4a</v>
      </c>
      <c r="M245" s="7" t="str">
        <f>CONCATENATE("LCHCMR34C14F268R")</f>
        <v>LCHCMR34C14F268R</v>
      </c>
      <c r="N245" s="7" t="s">
        <v>333</v>
      </c>
      <c r="O245" s="7"/>
      <c r="P245" s="8">
        <v>44522</v>
      </c>
      <c r="Q245" s="7" t="s">
        <v>31</v>
      </c>
      <c r="R245" s="7" t="s">
        <v>32</v>
      </c>
      <c r="S245" s="7" t="s">
        <v>33</v>
      </c>
      <c r="T245" s="7"/>
      <c r="U245" s="7" t="s">
        <v>34</v>
      </c>
      <c r="V245" s="7">
        <v>590.54999999999995</v>
      </c>
      <c r="W245" s="7">
        <v>254.65</v>
      </c>
      <c r="X245" s="7">
        <v>235.16</v>
      </c>
      <c r="Y245" s="7">
        <v>0</v>
      </c>
      <c r="Z245" s="7">
        <v>100.74</v>
      </c>
    </row>
    <row r="246" spans="1:26" x14ac:dyDescent="0.35">
      <c r="A246" s="7" t="s">
        <v>27</v>
      </c>
      <c r="B246" s="7" t="s">
        <v>28</v>
      </c>
      <c r="C246" s="7" t="s">
        <v>54</v>
      </c>
      <c r="D246" s="7" t="s">
        <v>139</v>
      </c>
      <c r="E246" s="7" t="s">
        <v>36</v>
      </c>
      <c r="F246" s="7" t="s">
        <v>217</v>
      </c>
      <c r="G246" s="7">
        <v>2021</v>
      </c>
      <c r="H246" s="7" t="str">
        <f>CONCATENATE("14240571738")</f>
        <v>14240571738</v>
      </c>
      <c r="I246" s="7" t="s">
        <v>29</v>
      </c>
      <c r="J246" s="7" t="s">
        <v>30</v>
      </c>
      <c r="K246" s="7" t="str">
        <f>CONCATENATE("")</f>
        <v/>
      </c>
      <c r="L246" s="7" t="str">
        <f>CONCATENATE("10 10.1 4a")</f>
        <v>10 10.1 4a</v>
      </c>
      <c r="M246" s="7" t="str">
        <f>CONCATENATE("01943760437")</f>
        <v>01943760437</v>
      </c>
      <c r="N246" s="7" t="s">
        <v>334</v>
      </c>
      <c r="O246" s="7"/>
      <c r="P246" s="8">
        <v>44522</v>
      </c>
      <c r="Q246" s="7" t="s">
        <v>31</v>
      </c>
      <c r="R246" s="7" t="s">
        <v>32</v>
      </c>
      <c r="S246" s="7" t="s">
        <v>33</v>
      </c>
      <c r="T246" s="7"/>
      <c r="U246" s="7" t="s">
        <v>34</v>
      </c>
      <c r="V246" s="7">
        <v>568.48</v>
      </c>
      <c r="W246" s="7">
        <v>245.13</v>
      </c>
      <c r="X246" s="7">
        <v>226.37</v>
      </c>
      <c r="Y246" s="7">
        <v>0</v>
      </c>
      <c r="Z246" s="7">
        <v>96.98</v>
      </c>
    </row>
    <row r="247" spans="1:26" x14ac:dyDescent="0.35">
      <c r="A247" s="7" t="s">
        <v>27</v>
      </c>
      <c r="B247" s="7" t="s">
        <v>28</v>
      </c>
      <c r="C247" s="7" t="s">
        <v>54</v>
      </c>
      <c r="D247" s="7" t="s">
        <v>118</v>
      </c>
      <c r="E247" s="7" t="s">
        <v>38</v>
      </c>
      <c r="F247" s="7" t="s">
        <v>144</v>
      </c>
      <c r="G247" s="7">
        <v>2021</v>
      </c>
      <c r="H247" s="7" t="str">
        <f>CONCATENATE("14240602186")</f>
        <v>14240602186</v>
      </c>
      <c r="I247" s="7" t="s">
        <v>29</v>
      </c>
      <c r="J247" s="7" t="s">
        <v>30</v>
      </c>
      <c r="K247" s="7" t="str">
        <f>CONCATENATE("")</f>
        <v/>
      </c>
      <c r="L247" s="7" t="str">
        <f>CONCATENATE("10 10.1 4a")</f>
        <v>10 10.1 4a</v>
      </c>
      <c r="M247" s="7" t="str">
        <f>CONCATENATE("02254910413")</f>
        <v>02254910413</v>
      </c>
      <c r="N247" s="7" t="s">
        <v>335</v>
      </c>
      <c r="O247" s="7"/>
      <c r="P247" s="8">
        <v>44522</v>
      </c>
      <c r="Q247" s="7" t="s">
        <v>31</v>
      </c>
      <c r="R247" s="7" t="s">
        <v>32</v>
      </c>
      <c r="S247" s="7" t="s">
        <v>33</v>
      </c>
      <c r="T247" s="7"/>
      <c r="U247" s="7" t="s">
        <v>34</v>
      </c>
      <c r="V247" s="7">
        <v>340</v>
      </c>
      <c r="W247" s="7">
        <v>146.61000000000001</v>
      </c>
      <c r="X247" s="7">
        <v>135.38999999999999</v>
      </c>
      <c r="Y247" s="7">
        <v>0</v>
      </c>
      <c r="Z247" s="7">
        <v>58</v>
      </c>
    </row>
    <row r="248" spans="1:26" x14ac:dyDescent="0.35">
      <c r="A248" s="7" t="s">
        <v>27</v>
      </c>
      <c r="B248" s="7" t="s">
        <v>28</v>
      </c>
      <c r="C248" s="7" t="s">
        <v>54</v>
      </c>
      <c r="D248" s="7" t="s">
        <v>139</v>
      </c>
      <c r="E248" s="7" t="s">
        <v>37</v>
      </c>
      <c r="F248" s="7" t="s">
        <v>53</v>
      </c>
      <c r="G248" s="7">
        <v>2021</v>
      </c>
      <c r="H248" s="7" t="str">
        <f>CONCATENATE("14240619693")</f>
        <v>14240619693</v>
      </c>
      <c r="I248" s="7" t="s">
        <v>29</v>
      </c>
      <c r="J248" s="7" t="s">
        <v>30</v>
      </c>
      <c r="K248" s="7" t="str">
        <f>CONCATENATE("")</f>
        <v/>
      </c>
      <c r="L248" s="7" t="str">
        <f>CONCATENATE("10 10.1 4a")</f>
        <v>10 10.1 4a</v>
      </c>
      <c r="M248" s="7" t="str">
        <f>CONCATENATE("TRDMGR35P43E388Q")</f>
        <v>TRDMGR35P43E388Q</v>
      </c>
      <c r="N248" s="7" t="s">
        <v>336</v>
      </c>
      <c r="O248" s="7"/>
      <c r="P248" s="8">
        <v>44522</v>
      </c>
      <c r="Q248" s="7" t="s">
        <v>31</v>
      </c>
      <c r="R248" s="7" t="s">
        <v>32</v>
      </c>
      <c r="S248" s="7" t="s">
        <v>33</v>
      </c>
      <c r="T248" s="7"/>
      <c r="U248" s="7" t="s">
        <v>34</v>
      </c>
      <c r="V248" s="7">
        <v>146.54</v>
      </c>
      <c r="W248" s="7">
        <v>63.19</v>
      </c>
      <c r="X248" s="7">
        <v>58.35</v>
      </c>
      <c r="Y248" s="7">
        <v>0</v>
      </c>
      <c r="Z248" s="7">
        <v>25</v>
      </c>
    </row>
    <row r="249" spans="1:26" x14ac:dyDescent="0.35">
      <c r="A249" s="7" t="s">
        <v>27</v>
      </c>
      <c r="B249" s="7" t="s">
        <v>28</v>
      </c>
      <c r="C249" s="7" t="s">
        <v>54</v>
      </c>
      <c r="D249" s="7" t="s">
        <v>122</v>
      </c>
      <c r="E249" s="7" t="s">
        <v>38</v>
      </c>
      <c r="F249" s="7" t="s">
        <v>135</v>
      </c>
      <c r="G249" s="7">
        <v>2021</v>
      </c>
      <c r="H249" s="7" t="str">
        <f>CONCATENATE("14240748989")</f>
        <v>14240748989</v>
      </c>
      <c r="I249" s="7" t="s">
        <v>29</v>
      </c>
      <c r="J249" s="7" t="s">
        <v>30</v>
      </c>
      <c r="K249" s="7" t="str">
        <f>CONCATENATE("")</f>
        <v/>
      </c>
      <c r="L249" s="7" t="str">
        <f>CONCATENATE("10 10.1 4a")</f>
        <v>10 10.1 4a</v>
      </c>
      <c r="M249" s="7" t="str">
        <f>CONCATENATE("PTRSNT71L21F453H")</f>
        <v>PTRSNT71L21F453H</v>
      </c>
      <c r="N249" s="7" t="s">
        <v>337</v>
      </c>
      <c r="O249" s="7"/>
      <c r="P249" s="8">
        <v>44522</v>
      </c>
      <c r="Q249" s="7" t="s">
        <v>31</v>
      </c>
      <c r="R249" s="7" t="s">
        <v>32</v>
      </c>
      <c r="S249" s="7" t="s">
        <v>33</v>
      </c>
      <c r="T249" s="7"/>
      <c r="U249" s="7" t="s">
        <v>34</v>
      </c>
      <c r="V249" s="7">
        <v>78.040000000000006</v>
      </c>
      <c r="W249" s="7">
        <v>33.65</v>
      </c>
      <c r="X249" s="7">
        <v>31.08</v>
      </c>
      <c r="Y249" s="7">
        <v>0</v>
      </c>
      <c r="Z249" s="7">
        <v>13.31</v>
      </c>
    </row>
    <row r="250" spans="1:26" x14ac:dyDescent="0.35">
      <c r="A250" s="7" t="s">
        <v>27</v>
      </c>
      <c r="B250" s="7" t="s">
        <v>28</v>
      </c>
      <c r="C250" s="7" t="s">
        <v>54</v>
      </c>
      <c r="D250" s="7" t="s">
        <v>139</v>
      </c>
      <c r="E250" s="7" t="s">
        <v>37</v>
      </c>
      <c r="F250" s="7" t="s">
        <v>45</v>
      </c>
      <c r="G250" s="7">
        <v>2021</v>
      </c>
      <c r="H250" s="7" t="str">
        <f>CONCATENATE("14240635657")</f>
        <v>14240635657</v>
      </c>
      <c r="I250" s="7" t="s">
        <v>29</v>
      </c>
      <c r="J250" s="7" t="s">
        <v>30</v>
      </c>
      <c r="K250" s="7" t="str">
        <f>CONCATENATE("")</f>
        <v/>
      </c>
      <c r="L250" s="7" t="str">
        <f>CONCATENATE("10 10.1 4a")</f>
        <v>10 10.1 4a</v>
      </c>
      <c r="M250" s="7" t="str">
        <f>CONCATENATE("01493390437")</f>
        <v>01493390437</v>
      </c>
      <c r="N250" s="7" t="s">
        <v>338</v>
      </c>
      <c r="O250" s="7"/>
      <c r="P250" s="8">
        <v>44522</v>
      </c>
      <c r="Q250" s="7" t="s">
        <v>31</v>
      </c>
      <c r="R250" s="7" t="s">
        <v>32</v>
      </c>
      <c r="S250" s="7" t="s">
        <v>33</v>
      </c>
      <c r="T250" s="7"/>
      <c r="U250" s="7" t="s">
        <v>34</v>
      </c>
      <c r="V250" s="7">
        <v>416.36</v>
      </c>
      <c r="W250" s="7">
        <v>179.53</v>
      </c>
      <c r="X250" s="7">
        <v>165.79</v>
      </c>
      <c r="Y250" s="7">
        <v>0</v>
      </c>
      <c r="Z250" s="7">
        <v>71.040000000000006</v>
      </c>
    </row>
  </sheetData>
  <mergeCells count="2">
    <mergeCell ref="A1:Y1"/>
    <mergeCell ref="A2:Y2"/>
  </mergeCells>
  <pageMargins left="0.75" right="0.75" top="1" bottom="1" header="0.5" footer="0.5"/>
  <pageSetup paperSize="9" orientation="portrait" horizontalDpi="300" verticalDpi="0" r:id="rId1"/>
</worksheet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57793</vt:lpwstr>
  </property>
  <property fmtid="{D5CDD505-2E9C-101B-9397-08002B2CF9AE}" pid="4" name="OptimizationTime">
    <vt:lpwstr>20211129_1203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2021-11-29T09:54:23Z</dcterms:created>
  <dcterms:modified xsi:type="dcterms:W3CDTF">2021-11-29T09:55:19Z</dcterms:modified>
</cp:coreProperties>
</file>