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92/"/>
    </mc:Choice>
  </mc:AlternateContent>
  <xr:revisionPtr revIDLastSave="0" documentId="8_{88A5E333-38E4-4F8A-AE51-45D3D90A52D8}" xr6:coauthVersionLast="46" xr6:coauthVersionMax="46" xr10:uidLastSave="{00000000-0000-0000-0000-000000000000}"/>
  <bookViews>
    <workbookView xWindow="-110" yWindow="-110" windowWidth="19420" windowHeight="10420" xr2:uid="{758D4D8A-CE35-443D-97FD-792657EA7FC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1" l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<sst xmlns="http://schemas.openxmlformats.org/spreadsheetml/2006/main" count="1063" uniqueCount="177">
  <si>
    <t>Dettaglio Domande Pagabili Decreto 492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</si>
  <si>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</si>
  <si>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</si>
  <si>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</si>
  <si>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</si>
  <si>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</si>
  <si>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</si>
  <si>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</si>
  <si>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</si>
  <si>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</si>
  <si>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</si>
  <si>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</si>
  <si>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</si>
  <si>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</si>
  <si>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</si>
  <si>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</si>
  <si>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</si>
  <si>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</si>
  <si>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</si>
  <si>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</si>
  <si>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</si>
  <si>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</si>
  <si>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</si>
  <si>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</si>
  <si>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</si>
  <si>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</si>
  <si>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</si>
  <si>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</si>
  <si>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</si>
  <si>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</si>
  <si>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</si>
  <si>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</si>
  <si>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</si>
  <si>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</si>
  <si>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Ordinario</t>
  </si>
  <si>
    <t>CAA degli Agricoltori Srl</t>
  </si>
  <si>
    <t>CAA Coldiretti srl</t>
  </si>
  <si>
    <t>IN PROPRIO</t>
  </si>
  <si>
    <t>Anticipo</t>
  </si>
  <si>
    <t>SAL</t>
  </si>
  <si>
    <t>CAA CIA srl</t>
  </si>
  <si>
    <t>CAA UNICAA srl</t>
  </si>
  <si>
    <t>CAA LiberiAgricoltori srl già CAA AGCI srl</t>
  </si>
  <si>
    <t>CAA-CAF AGRI S.R.L.</t>
  </si>
  <si>
    <t>SI</t>
  </si>
  <si>
    <t>Misure a Superficie</t>
  </si>
  <si>
    <t>Trascinamenti</t>
  </si>
  <si>
    <t>MARCHE</t>
  </si>
  <si>
    <t>SERV. DEC. AGRICOLTURA E ALIM. -ASCOLI PICENO</t>
  </si>
  <si>
    <t>VALLESI MAURO</t>
  </si>
  <si>
    <t>AGEA.ASR.2021.1213495</t>
  </si>
  <si>
    <t>SERV. DEC. AGRICOLTURA E ALIMENTAZIONE - ANCONA</t>
  </si>
  <si>
    <t>CAA CIA - ANCONA - 004</t>
  </si>
  <si>
    <t>BEDETTA ALESSANDRO</t>
  </si>
  <si>
    <t>AGEA.ASR.2021.1170837</t>
  </si>
  <si>
    <t>COSTANTINI GIULIANO</t>
  </si>
  <si>
    <t>CAA CAF AGRI - ANCONA - 224</t>
  </si>
  <si>
    <t>DOTTORI CHIARA</t>
  </si>
  <si>
    <t>AGEA.ASR.2021.1170551</t>
  </si>
  <si>
    <t>AGEA.ASR.2021.1213775</t>
  </si>
  <si>
    <t>CAA UNICAA - ASCOLI PICENO - 004</t>
  </si>
  <si>
    <t>AZ.AGR.FIORENIRE DI COCCI P.F. E COCCI C. S.S. SOC. AGRICOLA</t>
  </si>
  <si>
    <t>AGEA.ASR.2021.1209374</t>
  </si>
  <si>
    <t>AZIENDA AGRICOLA AMBRUOSI &amp; VISCARDI SOCIETA' AGRICOLA</t>
  </si>
  <si>
    <t>CAMELI FEDERICA</t>
  </si>
  <si>
    <t>QUADRINI FABRIZIO</t>
  </si>
  <si>
    <t>ILARI MATTEO</t>
  </si>
  <si>
    <t>AGEA.ASR.2021.1210914</t>
  </si>
  <si>
    <t>VIOSA SOCIETA AGRICOLA SEMPLICE</t>
  </si>
  <si>
    <t>AGEA.ASR.2021.1206583</t>
  </si>
  <si>
    <t>COMUNE DI TREIA</t>
  </si>
  <si>
    <t>AGEA.ASR.2021.1212681</t>
  </si>
  <si>
    <t>COMUNE DI MONTECASSIANO</t>
  </si>
  <si>
    <t>CAA Coldiretti - FERMO - 001</t>
  </si>
  <si>
    <t>CURTI VINCENZINA</t>
  </si>
  <si>
    <t>AGEA.ASR.2021.1233359</t>
  </si>
  <si>
    <t>CAA CAF AGRI - ASCOLI PICENO - 221</t>
  </si>
  <si>
    <t>D'OTTAVIO TIZIANA</t>
  </si>
  <si>
    <t>CAA Copagri srl</t>
  </si>
  <si>
    <t>CAA Copagri - ANCONA - 502</t>
  </si>
  <si>
    <t>GIULIONI RITA</t>
  </si>
  <si>
    <t>CAA Degli Agricoltori - ANCONA - 101</t>
  </si>
  <si>
    <t>JAYEU EUROPE SRL UNIPERSONALE</t>
  </si>
  <si>
    <t>CAA Coldiretti - ANCONA - 005</t>
  </si>
  <si>
    <t>MAGAGNINI FABRIZIO</t>
  </si>
  <si>
    <t>AGEA.ASR.2021.1170783</t>
  </si>
  <si>
    <t>AGEA.ASR.2021.1202479</t>
  </si>
  <si>
    <t>CAA CAF AGRI - ASCOLI PICENO - 222</t>
  </si>
  <si>
    <t>PASCALI LUIGI</t>
  </si>
  <si>
    <t>SERV. DEC. AGRICOLTURA E ALIM. - MACERATA</t>
  </si>
  <si>
    <t>FROCCANI STEFANO</t>
  </si>
  <si>
    <t>AGEA.ASR.2021.1234237</t>
  </si>
  <si>
    <t>SERANGELI NORBERTO</t>
  </si>
  <si>
    <t>CAA Coldiretti - MACERATA - 010</t>
  </si>
  <si>
    <t>SOCIETA' AGRICOLA PACCAMICCIO VIVAI S.S.</t>
  </si>
  <si>
    <t>ZANOTTA MARIA ALESSANDRA</t>
  </si>
  <si>
    <t>ENTE REGIONE MARCHE</t>
  </si>
  <si>
    <t>AGEA.ASR.2021.1206932</t>
  </si>
  <si>
    <t>AGRIVAR SOCIETA' AGRICOLA SRL</t>
  </si>
  <si>
    <t>AGEA.ASR.2021.1209330</t>
  </si>
  <si>
    <t>BIANCHI ANNALISA</t>
  </si>
  <si>
    <t>ROCCHETTI MIRANDA</t>
  </si>
  <si>
    <t>SERV. DEC. AGRICOLTURA E ALIMENTAZIONE - PESARO</t>
  </si>
  <si>
    <t>SOCIETA' AGRICOLA POGGIO ROSSO S.S.</t>
  </si>
  <si>
    <t>SOCIETA' AGRICOLA FONTE ANTICA DI TRAINI G. E L. S.S.</t>
  </si>
  <si>
    <t>CAA Coldiretti - ANCONA - 002</t>
  </si>
  <si>
    <t>MONTICELLI ODA</t>
  </si>
  <si>
    <t>AGEA.ASR.2021.1170651</t>
  </si>
  <si>
    <t>CAA LiberiAgricoltori - PESARO E URBINO - 001</t>
  </si>
  <si>
    <t>TERRA BIO CONSORZIO AGRICOLTORI BIOLOGICI SOCIETA' COOPERATIVA</t>
  </si>
  <si>
    <t>AGEA.ASR.2021.1225054</t>
  </si>
  <si>
    <t>VINEA - SOCIETA' COOPERATIVA AGRICOLA IN SIGLA VINEA SOC. COOP. AGRICO</t>
  </si>
  <si>
    <t>COMUNE DI RIPE SAN GINESIO</t>
  </si>
  <si>
    <t>AGEA.ASR.2021.1232667</t>
  </si>
  <si>
    <t>COMUNE DI URBISAGLIA</t>
  </si>
  <si>
    <t>COMUNE DI APPIGNANO</t>
  </si>
  <si>
    <t>AGEA.ASR.2021.1232645</t>
  </si>
  <si>
    <t>COMUNE DI PIEVE TORINA</t>
  </si>
  <si>
    <t>AGEA.ASR.2021.1232679</t>
  </si>
  <si>
    <t>MANCINI DAVID</t>
  </si>
  <si>
    <t>AGEA.ASR.2021.1100094</t>
  </si>
  <si>
    <t>PREMA SRL</t>
  </si>
  <si>
    <t>AZ.AGRICOLA CONTI &amp; MONTESI S.S. SOCIETA' AGRICOLA</t>
  </si>
  <si>
    <t>AGEA.ASR.2021.1170749</t>
  </si>
  <si>
    <t>CURSI OSCAR</t>
  </si>
  <si>
    <t>SOCIETA' AGRICOLA LE BRECCIOLE S.S.</t>
  </si>
  <si>
    <t>AGEA.ASR.2021.1214233</t>
  </si>
  <si>
    <t>CAA Coldiretti - ANCONA - 003</t>
  </si>
  <si>
    <t>GIOVANARDI GIANNI</t>
  </si>
  <si>
    <t>CAA CAF AGRI - ANCONA - 225</t>
  </si>
  <si>
    <t>RICCI RENATO</t>
  </si>
  <si>
    <t>COMUNE DI FALERONE</t>
  </si>
  <si>
    <t>AGEA.ASR.2021.1210891</t>
  </si>
  <si>
    <t>COMUNE DI ORTEZZANO</t>
  </si>
  <si>
    <t>COMUNE DI MONTEFANO</t>
  </si>
  <si>
    <t>AGEA.ASR.2021.1210862</t>
  </si>
  <si>
    <t>PIERELLI ROMINA</t>
  </si>
  <si>
    <t>ORGANIZZAZIONE REGIONALE TRASFORMATORI ORTICOLI VERDE SOCIETA' CONSORT</t>
  </si>
  <si>
    <t>AGEA.ASR.2021.1218908</t>
  </si>
  <si>
    <t>PIERGENTILI STEFANO</t>
  </si>
  <si>
    <t>AGEA.ASR.2021.1224675</t>
  </si>
  <si>
    <t>BORRONI GIORGIO</t>
  </si>
  <si>
    <t>AGEA.ASR.2021.1234457</t>
  </si>
  <si>
    <t>CAA Coldiretti - PESARO E URBINO - 013</t>
  </si>
  <si>
    <t>CARLONI CARLO</t>
  </si>
  <si>
    <t>AGEA.ASR.2021.1170716</t>
  </si>
  <si>
    <t>GUESCINI GIUSEPPE</t>
  </si>
  <si>
    <t>CAA UNICAA - ANCONA - 003</t>
  </si>
  <si>
    <t>BRACONI LORENZO</t>
  </si>
  <si>
    <t>CESARONI GIULIANO</t>
  </si>
  <si>
    <t>AGEA.ASR.2021.1208087</t>
  </si>
  <si>
    <t>CAA CIA - ANCONA - 006</t>
  </si>
  <si>
    <t>MEZZANOTTE SANDRINO</t>
  </si>
  <si>
    <t>AGEA.ASR.2021.1206581</t>
  </si>
  <si>
    <t>CAA CIA - ASCOLI PICENO - 001</t>
  </si>
  <si>
    <t>SILVESTRI PIERLUIGI</t>
  </si>
  <si>
    <t>AGEA.ASR.2021.1234248</t>
  </si>
  <si>
    <t>SOCIETA' AGRICOLA FERIOLI DI FERIOLI RICCARDO &amp; C. s.s.</t>
  </si>
  <si>
    <t>AGEA.ASR.2021.1234438</t>
  </si>
  <si>
    <t>HYCON SRL</t>
  </si>
  <si>
    <t>AGEA.ASR.2021.1210904</t>
  </si>
  <si>
    <t>PIOMBETTI CRISTINA</t>
  </si>
  <si>
    <t>SPUNK DI DILETTA MARIA CONTI &amp; FRATELLI SNC</t>
  </si>
  <si>
    <t>AGEA.ASR.2021.1213665</t>
  </si>
  <si>
    <t>COMUNE DI SMERILLO</t>
  </si>
  <si>
    <t>AGEA.ASR.2021.1210899</t>
  </si>
  <si>
    <t>COMUNE DI GAGLIOLE</t>
  </si>
  <si>
    <t>AGEA.ASR.2021.1210881</t>
  </si>
  <si>
    <t>COMUNE DI ALTIDONA</t>
  </si>
  <si>
    <t>AGEA.ASR.2021.1237845</t>
  </si>
  <si>
    <t>CAA Coldiretti - PESARO E URBINO - 001</t>
  </si>
  <si>
    <t>NUCCI VALERIO &amp; GIANMARCO SOC. AGRICOLA</t>
  </si>
  <si>
    <t>AGEA.ASR.2021.1205291</t>
  </si>
  <si>
    <t>FT PROJECT SOCIETA' A RESPONSABILITA' LIMITATA SEMPLIFICATA</t>
  </si>
  <si>
    <t>AGEA.ASR.2021.1100081</t>
  </si>
  <si>
    <t>NUBES -TECNOLOGIE DIGITALI PER IL RILIEVO - SOC COOPERATIVA</t>
  </si>
  <si>
    <t>AGEA.ASR.2021.1224605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</si>
</sst>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86CC-87B3-443B-A9E9-301ADCE69FF4}">
  <dimension ref="A1:Z77"/>
  <sheetViews>
    <sheetView showGridLines="0" tabSelected="1" workbookViewId="0">
      <selection activeCell="E80" sqref="E8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47</v>
      </c>
      <c r="D4" s="7" t="s">
        <v>48</v>
      </c>
      <c r="E4" s="7" t="s">
        <v>37</v>
      </c>
      <c r="F4" s="7" t="s">
        <v>37</v>
      </c>
      <c r="G4" s="7">
        <v>2017</v>
      </c>
      <c r="H4" s="7" t="str">
        <f>CONCATENATE("14270284111")</f>
        <v>14270284111</v>
      </c>
      <c r="I4" s="7" t="s">
        <v>29</v>
      </c>
      <c r="J4" s="7" t="s">
        <v>30</v>
      </c>
      <c r="K4" s="7" t="str">
        <f>CONCATENATE("")</f>
        <v/>
      </c>
      <c r="L4" s="7" t="str">
        <f>CONCATENATE("6 6.1 2b")</f>
        <v>6 6.1 2b</v>
      </c>
      <c r="M4" s="7" t="str">
        <f>CONCATENATE("VLLMRA79E11F520Y")</f>
        <v>VLLMRA79E11F520Y</v>
      </c>
      <c r="N4" s="7" t="s">
        <v>49</v>
      </c>
      <c r="O4" s="7" t="s">
        <v>50</v>
      </c>
      <c r="P4" s="8">
        <v>44490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10500</v>
      </c>
      <c r="W4" s="9">
        <v>4527.6000000000004</v>
      </c>
      <c r="X4" s="9">
        <v>4181.1000000000004</v>
      </c>
      <c r="Y4" s="7">
        <v>0</v>
      </c>
      <c r="Z4" s="9">
        <v>1791.3</v>
      </c>
    </row>
    <row r="5" spans="1:26" x14ac:dyDescent="0.35">
      <c r="A5" s="7" t="s">
        <v>27</v>
      </c>
      <c r="B5" s="7" t="s">
        <v>45</v>
      </c>
      <c r="C5" s="7" t="s">
        <v>47</v>
      </c>
      <c r="D5" s="7" t="s">
        <v>51</v>
      </c>
      <c r="E5" s="7" t="s">
        <v>40</v>
      </c>
      <c r="F5" s="7" t="s">
        <v>52</v>
      </c>
      <c r="G5" s="7">
        <v>2015</v>
      </c>
      <c r="H5" s="7" t="str">
        <f>CONCATENATE("54735028505")</f>
        <v>54735028505</v>
      </c>
      <c r="I5" s="7" t="s">
        <v>29</v>
      </c>
      <c r="J5" s="7" t="s">
        <v>46</v>
      </c>
      <c r="K5" s="7" t="str">
        <f>CONCATENATE("221")</f>
        <v>221</v>
      </c>
      <c r="L5" s="7" t="str">
        <f>CONCATENATE("8 8.1 5e")</f>
        <v>8 8.1 5e</v>
      </c>
      <c r="M5" s="7" t="str">
        <f>CONCATENATE("BDTLSN70M28I608V")</f>
        <v>BDTLSN70M28I608V</v>
      </c>
      <c r="N5" s="7" t="s">
        <v>53</v>
      </c>
      <c r="O5" s="7" t="s">
        <v>54</v>
      </c>
      <c r="P5" s="8">
        <v>44495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1632</v>
      </c>
      <c r="W5" s="7">
        <v>703.72</v>
      </c>
      <c r="X5" s="7">
        <v>649.86</v>
      </c>
      <c r="Y5" s="7">
        <v>0</v>
      </c>
      <c r="Z5" s="7">
        <v>278.42</v>
      </c>
    </row>
    <row r="6" spans="1:26" x14ac:dyDescent="0.35">
      <c r="A6" s="7" t="s">
        <v>27</v>
      </c>
      <c r="B6" s="7" t="s">
        <v>45</v>
      </c>
      <c r="C6" s="7" t="s">
        <v>47</v>
      </c>
      <c r="D6" s="7" t="s">
        <v>51</v>
      </c>
      <c r="E6" s="7" t="s">
        <v>40</v>
      </c>
      <c r="F6" s="7" t="s">
        <v>52</v>
      </c>
      <c r="G6" s="7">
        <v>2015</v>
      </c>
      <c r="H6" s="7" t="str">
        <f>CONCATENATE("54735028521")</f>
        <v>54735028521</v>
      </c>
      <c r="I6" s="7" t="s">
        <v>29</v>
      </c>
      <c r="J6" s="7" t="s">
        <v>46</v>
      </c>
      <c r="K6" s="7" t="str">
        <f>CONCATENATE("221")</f>
        <v>221</v>
      </c>
      <c r="L6" s="7" t="str">
        <f>CONCATENATE("8 8.1 5e")</f>
        <v>8 8.1 5e</v>
      </c>
      <c r="M6" s="7" t="str">
        <f>CONCATENATE("CSTGLN45T17F589X")</f>
        <v>CSTGLN45T17F589X</v>
      </c>
      <c r="N6" s="7" t="s">
        <v>55</v>
      </c>
      <c r="O6" s="7" t="s">
        <v>54</v>
      </c>
      <c r="P6" s="8">
        <v>44495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7">
        <v>576.73</v>
      </c>
      <c r="W6" s="7">
        <v>248.69</v>
      </c>
      <c r="X6" s="7">
        <v>229.65</v>
      </c>
      <c r="Y6" s="7">
        <v>0</v>
      </c>
      <c r="Z6" s="7">
        <v>98.39</v>
      </c>
    </row>
    <row r="7" spans="1:26" x14ac:dyDescent="0.35">
      <c r="A7" s="7" t="s">
        <v>27</v>
      </c>
      <c r="B7" s="7" t="s">
        <v>45</v>
      </c>
      <c r="C7" s="7" t="s">
        <v>47</v>
      </c>
      <c r="D7" s="7" t="s">
        <v>51</v>
      </c>
      <c r="E7" s="7" t="s">
        <v>43</v>
      </c>
      <c r="F7" s="7" t="s">
        <v>56</v>
      </c>
      <c r="G7" s="7">
        <v>2017</v>
      </c>
      <c r="H7" s="7" t="str">
        <f>CONCATENATE("74780005760")</f>
        <v>74780005760</v>
      </c>
      <c r="I7" s="7" t="s">
        <v>29</v>
      </c>
      <c r="J7" s="7" t="s">
        <v>46</v>
      </c>
      <c r="K7" s="7" t="str">
        <f>CONCATENATE("221")</f>
        <v>221</v>
      </c>
      <c r="L7" s="7" t="str">
        <f>CONCATENATE("8 8.1 5e")</f>
        <v>8 8.1 5e</v>
      </c>
      <c r="M7" s="7" t="str">
        <f>CONCATENATE("DTTCHR78L69D211L")</f>
        <v>DTTCHR78L69D211L</v>
      </c>
      <c r="N7" s="7" t="s">
        <v>57</v>
      </c>
      <c r="O7" s="7" t="s">
        <v>58</v>
      </c>
      <c r="P7" s="8">
        <v>44495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1402.62</v>
      </c>
      <c r="W7" s="7">
        <v>604.80999999999995</v>
      </c>
      <c r="X7" s="7">
        <v>558.52</v>
      </c>
      <c r="Y7" s="7">
        <v>0</v>
      </c>
      <c r="Z7" s="7">
        <v>239.29</v>
      </c>
    </row>
    <row r="8" spans="1:26" x14ac:dyDescent="0.35">
      <c r="A8" s="7" t="s">
        <v>27</v>
      </c>
      <c r="B8" s="7" t="s">
        <v>28</v>
      </c>
      <c r="C8" s="7" t="s">
        <v>47</v>
      </c>
      <c r="D8" s="7" t="s">
        <v>48</v>
      </c>
      <c r="E8" s="7" t="s">
        <v>37</v>
      </c>
      <c r="F8" s="7" t="s">
        <v>37</v>
      </c>
      <c r="G8" s="7">
        <v>2017</v>
      </c>
      <c r="H8" s="7" t="str">
        <f>CONCATENATE("14270284160")</f>
        <v>14270284160</v>
      </c>
      <c r="I8" s="7" t="s">
        <v>29</v>
      </c>
      <c r="J8" s="7" t="s">
        <v>30</v>
      </c>
      <c r="K8" s="7" t="str">
        <f>CONCATENATE("")</f>
        <v/>
      </c>
      <c r="L8" s="7" t="str">
        <f>CONCATENATE("4 4.1 2a")</f>
        <v>4 4.1 2a</v>
      </c>
      <c r="M8" s="7" t="str">
        <f>CONCATENATE("VLLMRA79E11F520Y")</f>
        <v>VLLMRA79E11F520Y</v>
      </c>
      <c r="N8" s="7" t="s">
        <v>49</v>
      </c>
      <c r="O8" s="7" t="s">
        <v>59</v>
      </c>
      <c r="P8" s="8">
        <v>44490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250000</v>
      </c>
      <c r="W8" s="9">
        <v>107800</v>
      </c>
      <c r="X8" s="9">
        <v>99550</v>
      </c>
      <c r="Y8" s="7">
        <v>0</v>
      </c>
      <c r="Z8" s="9">
        <v>42650</v>
      </c>
    </row>
    <row r="9" spans="1:26" x14ac:dyDescent="0.35">
      <c r="A9" s="7" t="s">
        <v>27</v>
      </c>
      <c r="B9" s="7" t="s">
        <v>28</v>
      </c>
      <c r="C9" s="7" t="s">
        <v>47</v>
      </c>
      <c r="D9" s="7" t="s">
        <v>48</v>
      </c>
      <c r="E9" s="7" t="s">
        <v>41</v>
      </c>
      <c r="F9" s="7" t="s">
        <v>60</v>
      </c>
      <c r="G9" s="7">
        <v>2017</v>
      </c>
      <c r="H9" s="7" t="str">
        <f>CONCATENATE("14270271100")</f>
        <v>14270271100</v>
      </c>
      <c r="I9" s="7" t="s">
        <v>29</v>
      </c>
      <c r="J9" s="7" t="s">
        <v>30</v>
      </c>
      <c r="K9" s="7" t="str">
        <f>CONCATENATE("")</f>
        <v/>
      </c>
      <c r="L9" s="7" t="str">
        <f>CONCATENATE("4 4.1 2a")</f>
        <v>4 4.1 2a</v>
      </c>
      <c r="M9" s="7" t="str">
        <f>CONCATENATE("01496660448")</f>
        <v>01496660448</v>
      </c>
      <c r="N9" s="7" t="s">
        <v>61</v>
      </c>
      <c r="O9" s="7" t="s">
        <v>62</v>
      </c>
      <c r="P9" s="8">
        <v>44490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22182.27</v>
      </c>
      <c r="W9" s="9">
        <v>9564.99</v>
      </c>
      <c r="X9" s="9">
        <v>8832.98</v>
      </c>
      <c r="Y9" s="7">
        <v>0</v>
      </c>
      <c r="Z9" s="9">
        <v>3784.3</v>
      </c>
    </row>
    <row r="10" spans="1:26" x14ac:dyDescent="0.35">
      <c r="A10" s="7" t="s">
        <v>27</v>
      </c>
      <c r="B10" s="7" t="s">
        <v>28</v>
      </c>
      <c r="C10" s="7" t="s">
        <v>47</v>
      </c>
      <c r="D10" s="7" t="s">
        <v>48</v>
      </c>
      <c r="E10" s="7" t="s">
        <v>37</v>
      </c>
      <c r="F10" s="7" t="s">
        <v>37</v>
      </c>
      <c r="G10" s="7">
        <v>2017</v>
      </c>
      <c r="H10" s="7" t="str">
        <f>CONCATENATE("14270271092")</f>
        <v>14270271092</v>
      </c>
      <c r="I10" s="7" t="s">
        <v>29</v>
      </c>
      <c r="J10" s="7" t="s">
        <v>30</v>
      </c>
      <c r="K10" s="7" t="str">
        <f>CONCATENATE("")</f>
        <v/>
      </c>
      <c r="L10" s="7" t="str">
        <f>CONCATENATE("4 4.1 2a")</f>
        <v>4 4.1 2a</v>
      </c>
      <c r="M10" s="7" t="str">
        <f>CONCATENATE("01457430443")</f>
        <v>01457430443</v>
      </c>
      <c r="N10" s="7" t="s">
        <v>63</v>
      </c>
      <c r="O10" s="7" t="s">
        <v>62</v>
      </c>
      <c r="P10" s="8">
        <v>44490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218445.16</v>
      </c>
      <c r="W10" s="9">
        <v>94193.55</v>
      </c>
      <c r="X10" s="9">
        <v>86984.86</v>
      </c>
      <c r="Y10" s="7">
        <v>0</v>
      </c>
      <c r="Z10" s="9">
        <v>37266.75</v>
      </c>
    </row>
    <row r="11" spans="1:26" x14ac:dyDescent="0.35">
      <c r="A11" s="7" t="s">
        <v>27</v>
      </c>
      <c r="B11" s="7" t="s">
        <v>28</v>
      </c>
      <c r="C11" s="7" t="s">
        <v>47</v>
      </c>
      <c r="D11" s="7" t="s">
        <v>48</v>
      </c>
      <c r="E11" s="7" t="s">
        <v>41</v>
      </c>
      <c r="F11" s="7" t="s">
        <v>60</v>
      </c>
      <c r="G11" s="7">
        <v>2017</v>
      </c>
      <c r="H11" s="7" t="str">
        <f>CONCATENATE("14270278873")</f>
        <v>14270278873</v>
      </c>
      <c r="I11" s="7" t="s">
        <v>29</v>
      </c>
      <c r="J11" s="7" t="s">
        <v>30</v>
      </c>
      <c r="K11" s="7" t="str">
        <f>CONCATENATE("")</f>
        <v/>
      </c>
      <c r="L11" s="7" t="str">
        <f>CONCATENATE("4 4.1 2a")</f>
        <v>4 4.1 2a</v>
      </c>
      <c r="M11" s="7" t="str">
        <f>CONCATENATE("CMLFRC77L46H769E")</f>
        <v>CMLFRC77L46H769E</v>
      </c>
      <c r="N11" s="7" t="s">
        <v>64</v>
      </c>
      <c r="O11" s="7" t="s">
        <v>62</v>
      </c>
      <c r="P11" s="8">
        <v>44490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108682.87</v>
      </c>
      <c r="W11" s="9">
        <v>46864.05</v>
      </c>
      <c r="X11" s="9">
        <v>43277.52</v>
      </c>
      <c r="Y11" s="7">
        <v>0</v>
      </c>
      <c r="Z11" s="9">
        <v>18541.3</v>
      </c>
    </row>
    <row r="12" spans="1:26" x14ac:dyDescent="0.35">
      <c r="A12" s="7" t="s">
        <v>27</v>
      </c>
      <c r="B12" s="7" t="s">
        <v>28</v>
      </c>
      <c r="C12" s="7" t="s">
        <v>47</v>
      </c>
      <c r="D12" s="7" t="s">
        <v>48</v>
      </c>
      <c r="E12" s="7" t="s">
        <v>37</v>
      </c>
      <c r="F12" s="7" t="s">
        <v>37</v>
      </c>
      <c r="G12" s="7">
        <v>2017</v>
      </c>
      <c r="H12" s="7" t="str">
        <f>CONCATENATE("14270284822")</f>
        <v>14270284822</v>
      </c>
      <c r="I12" s="7" t="s">
        <v>29</v>
      </c>
      <c r="J12" s="7" t="s">
        <v>30</v>
      </c>
      <c r="K12" s="7" t="str">
        <f>CONCATENATE("")</f>
        <v/>
      </c>
      <c r="L12" s="7" t="str">
        <f>CONCATENATE("4 4.1 2a")</f>
        <v>4 4.1 2a</v>
      </c>
      <c r="M12" s="7" t="str">
        <f>CONCATENATE("QDRFRZ68D16C770Y")</f>
        <v>QDRFRZ68D16C770Y</v>
      </c>
      <c r="N12" s="7" t="s">
        <v>65</v>
      </c>
      <c r="O12" s="7" t="s">
        <v>62</v>
      </c>
      <c r="P12" s="8">
        <v>44490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159224.85999999999</v>
      </c>
      <c r="W12" s="9">
        <v>68657.759999999995</v>
      </c>
      <c r="X12" s="9">
        <v>63403.34</v>
      </c>
      <c r="Y12" s="7">
        <v>0</v>
      </c>
      <c r="Z12" s="9">
        <v>27163.759999999998</v>
      </c>
    </row>
    <row r="13" spans="1:26" x14ac:dyDescent="0.35">
      <c r="A13" s="7" t="s">
        <v>27</v>
      </c>
      <c r="B13" s="7" t="s">
        <v>28</v>
      </c>
      <c r="C13" s="7" t="s">
        <v>47</v>
      </c>
      <c r="D13" s="7" t="s">
        <v>47</v>
      </c>
      <c r="E13" s="7" t="s">
        <v>37</v>
      </c>
      <c r="F13" s="7" t="s">
        <v>37</v>
      </c>
      <c r="G13" s="7">
        <v>2017</v>
      </c>
      <c r="H13" s="7" t="str">
        <f>CONCATENATE("14270283964")</f>
        <v>14270283964</v>
      </c>
      <c r="I13" s="7" t="s">
        <v>29</v>
      </c>
      <c r="J13" s="7" t="s">
        <v>30</v>
      </c>
      <c r="K13" s="7" t="str">
        <f>CONCATENATE("")</f>
        <v/>
      </c>
      <c r="L13" s="7" t="str">
        <f>CONCATENATE("19 19.2 6b")</f>
        <v>19 19.2 6b</v>
      </c>
      <c r="M13" s="7" t="str">
        <f>CONCATENATE("LRIMTT92H18E388B")</f>
        <v>LRIMTT92H18E388B</v>
      </c>
      <c r="N13" s="7" t="s">
        <v>66</v>
      </c>
      <c r="O13" s="7" t="s">
        <v>67</v>
      </c>
      <c r="P13" s="8">
        <v>44490</v>
      </c>
      <c r="Q13" s="7" t="s">
        <v>31</v>
      </c>
      <c r="R13" s="7" t="s">
        <v>39</v>
      </c>
      <c r="S13" s="7" t="s">
        <v>33</v>
      </c>
      <c r="T13" s="7"/>
      <c r="U13" s="7" t="s">
        <v>34</v>
      </c>
      <c r="V13" s="9">
        <v>15000</v>
      </c>
      <c r="W13" s="9">
        <v>6468</v>
      </c>
      <c r="X13" s="9">
        <v>5973</v>
      </c>
      <c r="Y13" s="7">
        <v>0</v>
      </c>
      <c r="Z13" s="9">
        <v>2559</v>
      </c>
    </row>
    <row r="14" spans="1:26" x14ac:dyDescent="0.35">
      <c r="A14" s="7" t="s">
        <v>27</v>
      </c>
      <c r="B14" s="7" t="s">
        <v>28</v>
      </c>
      <c r="C14" s="7" t="s">
        <v>47</v>
      </c>
      <c r="D14" s="7" t="s">
        <v>48</v>
      </c>
      <c r="E14" s="7" t="s">
        <v>37</v>
      </c>
      <c r="F14" s="7" t="s">
        <v>37</v>
      </c>
      <c r="G14" s="7">
        <v>2017</v>
      </c>
      <c r="H14" s="7" t="str">
        <f>CONCATENATE("14270278188")</f>
        <v>14270278188</v>
      </c>
      <c r="I14" s="7" t="s">
        <v>29</v>
      </c>
      <c r="J14" s="7" t="s">
        <v>30</v>
      </c>
      <c r="K14" s="7" t="str">
        <f>CONCATENATE("")</f>
        <v/>
      </c>
      <c r="L14" s="7" t="str">
        <f>CONCATENATE("4 4.1 2a")</f>
        <v>4 4.1 2a</v>
      </c>
      <c r="M14" s="7" t="str">
        <f>CONCATENATE("02270700442")</f>
        <v>02270700442</v>
      </c>
      <c r="N14" s="7" t="s">
        <v>68</v>
      </c>
      <c r="O14" s="7" t="s">
        <v>69</v>
      </c>
      <c r="P14" s="8">
        <v>44490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11253.58</v>
      </c>
      <c r="W14" s="9">
        <v>4852.54</v>
      </c>
      <c r="X14" s="9">
        <v>4481.18</v>
      </c>
      <c r="Y14" s="7">
        <v>0</v>
      </c>
      <c r="Z14" s="9">
        <v>1919.86</v>
      </c>
    </row>
    <row r="15" spans="1:26" x14ac:dyDescent="0.35">
      <c r="A15" s="7" t="s">
        <v>27</v>
      </c>
      <c r="B15" s="7" t="s">
        <v>28</v>
      </c>
      <c r="C15" s="7" t="s">
        <v>47</v>
      </c>
      <c r="D15" s="7" t="s">
        <v>47</v>
      </c>
      <c r="E15" s="7" t="s">
        <v>37</v>
      </c>
      <c r="F15" s="7" t="s">
        <v>37</v>
      </c>
      <c r="G15" s="7">
        <v>2017</v>
      </c>
      <c r="H15" s="7" t="str">
        <f>CONCATENATE("14270285779")</f>
        <v>14270285779</v>
      </c>
      <c r="I15" s="7" t="s">
        <v>29</v>
      </c>
      <c r="J15" s="7" t="s">
        <v>30</v>
      </c>
      <c r="K15" s="7" t="str">
        <f>CONCATENATE("")</f>
        <v/>
      </c>
      <c r="L15" s="7" t="str">
        <f>CONCATENATE("19 19.2 6b")</f>
        <v>19 19.2 6b</v>
      </c>
      <c r="M15" s="7" t="str">
        <f>CONCATENATE("00138790431")</f>
        <v>00138790431</v>
      </c>
      <c r="N15" s="7" t="s">
        <v>70</v>
      </c>
      <c r="O15" s="7" t="s">
        <v>71</v>
      </c>
      <c r="P15" s="8">
        <v>44490</v>
      </c>
      <c r="Q15" s="7" t="s">
        <v>31</v>
      </c>
      <c r="R15" s="7" t="s">
        <v>38</v>
      </c>
      <c r="S15" s="7" t="s">
        <v>33</v>
      </c>
      <c r="T15" s="7"/>
      <c r="U15" s="7" t="s">
        <v>34</v>
      </c>
      <c r="V15" s="9">
        <v>101361.60000000001</v>
      </c>
      <c r="W15" s="9">
        <v>43707.12</v>
      </c>
      <c r="X15" s="9">
        <v>40362.19</v>
      </c>
      <c r="Y15" s="7">
        <v>0</v>
      </c>
      <c r="Z15" s="9">
        <v>17292.29</v>
      </c>
    </row>
    <row r="16" spans="1:26" x14ac:dyDescent="0.35">
      <c r="A16" s="7" t="s">
        <v>27</v>
      </c>
      <c r="B16" s="7" t="s">
        <v>28</v>
      </c>
      <c r="C16" s="7" t="s">
        <v>47</v>
      </c>
      <c r="D16" s="7" t="s">
        <v>47</v>
      </c>
      <c r="E16" s="7" t="s">
        <v>37</v>
      </c>
      <c r="F16" s="7" t="s">
        <v>37</v>
      </c>
      <c r="G16" s="7">
        <v>2017</v>
      </c>
      <c r="H16" s="7" t="str">
        <f>CONCATENATE("14270285761")</f>
        <v>14270285761</v>
      </c>
      <c r="I16" s="7" t="s">
        <v>29</v>
      </c>
      <c r="J16" s="7" t="s">
        <v>30</v>
      </c>
      <c r="K16" s="7" t="str">
        <f>CONCATENATE("")</f>
        <v/>
      </c>
      <c r="L16" s="7" t="str">
        <f>CONCATENATE("19 19.2 6b")</f>
        <v>19 19.2 6b</v>
      </c>
      <c r="M16" s="7" t="str">
        <f>CONCATENATE("00218320430")</f>
        <v>00218320430</v>
      </c>
      <c r="N16" s="7" t="s">
        <v>72</v>
      </c>
      <c r="O16" s="7" t="s">
        <v>71</v>
      </c>
      <c r="P16" s="8">
        <v>44490</v>
      </c>
      <c r="Q16" s="7" t="s">
        <v>31</v>
      </c>
      <c r="R16" s="7" t="s">
        <v>38</v>
      </c>
      <c r="S16" s="7" t="s">
        <v>33</v>
      </c>
      <c r="T16" s="7"/>
      <c r="U16" s="7" t="s">
        <v>34</v>
      </c>
      <c r="V16" s="9">
        <v>49349.88</v>
      </c>
      <c r="W16" s="9">
        <v>21279.67</v>
      </c>
      <c r="X16" s="9">
        <v>19651.12</v>
      </c>
      <c r="Y16" s="7">
        <v>0</v>
      </c>
      <c r="Z16" s="9">
        <v>8419.09</v>
      </c>
    </row>
    <row r="17" spans="1:26" x14ac:dyDescent="0.35">
      <c r="A17" s="7" t="s">
        <v>27</v>
      </c>
      <c r="B17" s="7" t="s">
        <v>28</v>
      </c>
      <c r="C17" s="7" t="s">
        <v>47</v>
      </c>
      <c r="D17" s="7" t="s">
        <v>48</v>
      </c>
      <c r="E17" s="7" t="s">
        <v>36</v>
      </c>
      <c r="F17" s="7" t="s">
        <v>73</v>
      </c>
      <c r="G17" s="7">
        <v>2017</v>
      </c>
      <c r="H17" s="7" t="str">
        <f>CONCATENATE("14270285845")</f>
        <v>14270285845</v>
      </c>
      <c r="I17" s="7" t="s">
        <v>44</v>
      </c>
      <c r="J17" s="7" t="s">
        <v>30</v>
      </c>
      <c r="K17" s="7" t="str">
        <f>CONCATENATE("")</f>
        <v/>
      </c>
      <c r="L17" s="7" t="str">
        <f>CONCATENATE("21 21.1 2a")</f>
        <v>21 21.1 2a</v>
      </c>
      <c r="M17" s="7" t="str">
        <f>CONCATENATE("CRTVCN69D42F415N")</f>
        <v>CRTVCN69D42F415N</v>
      </c>
      <c r="N17" s="7" t="s">
        <v>74</v>
      </c>
      <c r="O17" s="7" t="s">
        <v>75</v>
      </c>
      <c r="P17" s="8">
        <v>44495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28</v>
      </c>
      <c r="C18" s="7" t="s">
        <v>47</v>
      </c>
      <c r="D18" s="7" t="s">
        <v>48</v>
      </c>
      <c r="E18" s="7" t="s">
        <v>43</v>
      </c>
      <c r="F18" s="7" t="s">
        <v>76</v>
      </c>
      <c r="G18" s="7">
        <v>2017</v>
      </c>
      <c r="H18" s="7" t="str">
        <f>CONCATENATE("14270285811")</f>
        <v>14270285811</v>
      </c>
      <c r="I18" s="7" t="s">
        <v>29</v>
      </c>
      <c r="J18" s="7" t="s">
        <v>30</v>
      </c>
      <c r="K18" s="7" t="str">
        <f>CONCATENATE("")</f>
        <v/>
      </c>
      <c r="L18" s="7" t="str">
        <f>CONCATENATE("21 21.1 2a")</f>
        <v>21 21.1 2a</v>
      </c>
      <c r="M18" s="7" t="str">
        <f>CONCATENATE("DTTTZN62H54D542M")</f>
        <v>DTTTZN62H54D542M</v>
      </c>
      <c r="N18" s="7" t="s">
        <v>77</v>
      </c>
      <c r="O18" s="7" t="s">
        <v>75</v>
      </c>
      <c r="P18" s="8">
        <v>44495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7000</v>
      </c>
      <c r="W18" s="9">
        <v>3018.4</v>
      </c>
      <c r="X18" s="9">
        <v>2787.4</v>
      </c>
      <c r="Y18" s="7">
        <v>0</v>
      </c>
      <c r="Z18" s="9">
        <v>1194.2</v>
      </c>
    </row>
    <row r="19" spans="1:26" x14ac:dyDescent="0.35">
      <c r="A19" s="7" t="s">
        <v>27</v>
      </c>
      <c r="B19" s="7" t="s">
        <v>28</v>
      </c>
      <c r="C19" s="7" t="s">
        <v>47</v>
      </c>
      <c r="D19" s="7" t="s">
        <v>51</v>
      </c>
      <c r="E19" s="7" t="s">
        <v>78</v>
      </c>
      <c r="F19" s="7" t="s">
        <v>79</v>
      </c>
      <c r="G19" s="7">
        <v>2017</v>
      </c>
      <c r="H19" s="7" t="str">
        <f>CONCATENATE("14270285803")</f>
        <v>14270285803</v>
      </c>
      <c r="I19" s="7" t="s">
        <v>29</v>
      </c>
      <c r="J19" s="7" t="s">
        <v>30</v>
      </c>
      <c r="K19" s="7" t="str">
        <f>CONCATENATE("")</f>
        <v/>
      </c>
      <c r="L19" s="7" t="str">
        <f>CONCATENATE("21 21.1 2a")</f>
        <v>21 21.1 2a</v>
      </c>
      <c r="M19" s="7" t="str">
        <f>CONCATENATE("GLNRTI48E62C704U")</f>
        <v>GLNRTI48E62C704U</v>
      </c>
      <c r="N19" s="7" t="s">
        <v>80</v>
      </c>
      <c r="O19" s="7" t="s">
        <v>75</v>
      </c>
      <c r="P19" s="8">
        <v>44495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4384.57</v>
      </c>
      <c r="W19" s="9">
        <v>1890.63</v>
      </c>
      <c r="X19" s="9">
        <v>1745.94</v>
      </c>
      <c r="Y19" s="7">
        <v>0</v>
      </c>
      <c r="Z19" s="7">
        <v>748</v>
      </c>
    </row>
    <row r="20" spans="1:26" x14ac:dyDescent="0.35">
      <c r="A20" s="7" t="s">
        <v>27</v>
      </c>
      <c r="B20" s="7" t="s">
        <v>28</v>
      </c>
      <c r="C20" s="7" t="s">
        <v>47</v>
      </c>
      <c r="D20" s="7" t="s">
        <v>51</v>
      </c>
      <c r="E20" s="7" t="s">
        <v>35</v>
      </c>
      <c r="F20" s="7" t="s">
        <v>81</v>
      </c>
      <c r="G20" s="7">
        <v>2017</v>
      </c>
      <c r="H20" s="7" t="str">
        <f>CONCATENATE("14270285829")</f>
        <v>14270285829</v>
      </c>
      <c r="I20" s="7" t="s">
        <v>29</v>
      </c>
      <c r="J20" s="7" t="s">
        <v>30</v>
      </c>
      <c r="K20" s="7" t="str">
        <f>CONCATENATE("")</f>
        <v/>
      </c>
      <c r="L20" s="7" t="str">
        <f>CONCATENATE("21 21.1 2a")</f>
        <v>21 21.1 2a</v>
      </c>
      <c r="M20" s="7" t="str">
        <f>CONCATENATE("02241010426")</f>
        <v>02241010426</v>
      </c>
      <c r="N20" s="7" t="s">
        <v>82</v>
      </c>
      <c r="O20" s="7" t="s">
        <v>75</v>
      </c>
      <c r="P20" s="8">
        <v>44495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x14ac:dyDescent="0.35">
      <c r="A21" s="7" t="s">
        <v>27</v>
      </c>
      <c r="B21" s="7" t="s">
        <v>45</v>
      </c>
      <c r="C21" s="7" t="s">
        <v>47</v>
      </c>
      <c r="D21" s="7" t="s">
        <v>51</v>
      </c>
      <c r="E21" s="7" t="s">
        <v>36</v>
      </c>
      <c r="F21" s="7" t="s">
        <v>83</v>
      </c>
      <c r="G21" s="7">
        <v>2016</v>
      </c>
      <c r="H21" s="7" t="str">
        <f>CONCATENATE("64780071425")</f>
        <v>64780071425</v>
      </c>
      <c r="I21" s="7" t="s">
        <v>29</v>
      </c>
      <c r="J21" s="7" t="s">
        <v>46</v>
      </c>
      <c r="K21" s="7" t="str">
        <f>CONCATENATE("221")</f>
        <v>221</v>
      </c>
      <c r="L21" s="7" t="str">
        <f>CONCATENATE("8 8.1 5e")</f>
        <v>8 8.1 5e</v>
      </c>
      <c r="M21" s="7" t="str">
        <f>CONCATENATE("MGGFRZ72H26I461X")</f>
        <v>MGGFRZ72H26I461X</v>
      </c>
      <c r="N21" s="7" t="s">
        <v>84</v>
      </c>
      <c r="O21" s="7" t="s">
        <v>85</v>
      </c>
      <c r="P21" s="8">
        <v>44495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7">
        <v>88.2</v>
      </c>
      <c r="W21" s="7">
        <v>38.03</v>
      </c>
      <c r="X21" s="7">
        <v>35.119999999999997</v>
      </c>
      <c r="Y21" s="7">
        <v>0</v>
      </c>
      <c r="Z21" s="7">
        <v>15.05</v>
      </c>
    </row>
    <row r="22" spans="1:26" x14ac:dyDescent="0.35">
      <c r="A22" s="7" t="s">
        <v>27</v>
      </c>
      <c r="B22" s="7" t="s">
        <v>28</v>
      </c>
      <c r="C22" s="7" t="s">
        <v>47</v>
      </c>
      <c r="D22" s="7" t="s">
        <v>48</v>
      </c>
      <c r="E22" s="7" t="s">
        <v>37</v>
      </c>
      <c r="F22" s="7" t="s">
        <v>37</v>
      </c>
      <c r="G22" s="7">
        <v>2017</v>
      </c>
      <c r="H22" s="7" t="str">
        <f>CONCATENATE("14270278162")</f>
        <v>14270278162</v>
      </c>
      <c r="I22" s="7" t="s">
        <v>29</v>
      </c>
      <c r="J22" s="7" t="s">
        <v>30</v>
      </c>
      <c r="K22" s="7" t="str">
        <f>CONCATENATE("")</f>
        <v/>
      </c>
      <c r="L22" s="7" t="str">
        <f>CONCATENATE("6 6.1 2b")</f>
        <v>6 6.1 2b</v>
      </c>
      <c r="M22" s="7" t="str">
        <f>CONCATENATE("02270700442")</f>
        <v>02270700442</v>
      </c>
      <c r="N22" s="7" t="s">
        <v>68</v>
      </c>
      <c r="O22" s="7" t="s">
        <v>86</v>
      </c>
      <c r="P22" s="8">
        <v>44490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10500</v>
      </c>
      <c r="W22" s="9">
        <v>4527.6000000000004</v>
      </c>
      <c r="X22" s="9">
        <v>4181.1000000000004</v>
      </c>
      <c r="Y22" s="7">
        <v>0</v>
      </c>
      <c r="Z22" s="9">
        <v>1791.3</v>
      </c>
    </row>
    <row r="23" spans="1:26" x14ac:dyDescent="0.35">
      <c r="A23" s="7" t="s">
        <v>27</v>
      </c>
      <c r="B23" s="7" t="s">
        <v>28</v>
      </c>
      <c r="C23" s="7" t="s">
        <v>47</v>
      </c>
      <c r="D23" s="7" t="s">
        <v>48</v>
      </c>
      <c r="E23" s="7" t="s">
        <v>43</v>
      </c>
      <c r="F23" s="7" t="s">
        <v>87</v>
      </c>
      <c r="G23" s="7">
        <v>2017</v>
      </c>
      <c r="H23" s="7" t="str">
        <f>CONCATENATE("14270285795")</f>
        <v>14270285795</v>
      </c>
      <c r="I23" s="7" t="s">
        <v>29</v>
      </c>
      <c r="J23" s="7" t="s">
        <v>30</v>
      </c>
      <c r="K23" s="7" t="str">
        <f>CONCATENATE("")</f>
        <v/>
      </c>
      <c r="L23" s="7" t="str">
        <f>CONCATENATE("21 21.1 2a")</f>
        <v>21 21.1 2a</v>
      </c>
      <c r="M23" s="7" t="str">
        <f>CONCATENATE("PSCLGU80M30A462D")</f>
        <v>PSCLGU80M30A462D</v>
      </c>
      <c r="N23" s="7" t="s">
        <v>88</v>
      </c>
      <c r="O23" s="7" t="s">
        <v>75</v>
      </c>
      <c r="P23" s="8">
        <v>44495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9">
        <v>7000</v>
      </c>
      <c r="W23" s="9">
        <v>3018.4</v>
      </c>
      <c r="X23" s="9">
        <v>2787.4</v>
      </c>
      <c r="Y23" s="7">
        <v>0</v>
      </c>
      <c r="Z23" s="9">
        <v>1194.2</v>
      </c>
    </row>
    <row r="24" spans="1:26" x14ac:dyDescent="0.35">
      <c r="A24" s="7" t="s">
        <v>27</v>
      </c>
      <c r="B24" s="7" t="s">
        <v>28</v>
      </c>
      <c r="C24" s="7" t="s">
        <v>47</v>
      </c>
      <c r="D24" s="7" t="s">
        <v>89</v>
      </c>
      <c r="E24" s="7" t="s">
        <v>37</v>
      </c>
      <c r="F24" s="7" t="s">
        <v>37</v>
      </c>
      <c r="G24" s="7">
        <v>2017</v>
      </c>
      <c r="H24" s="7" t="str">
        <f>CONCATENATE("14270287213")</f>
        <v>14270287213</v>
      </c>
      <c r="I24" s="7" t="s">
        <v>29</v>
      </c>
      <c r="J24" s="7" t="s">
        <v>30</v>
      </c>
      <c r="K24" s="7" t="str">
        <f>CONCATENATE("")</f>
        <v/>
      </c>
      <c r="L24" s="7" t="str">
        <f>CONCATENATE("4 4.1 2a")</f>
        <v>4 4.1 2a</v>
      </c>
      <c r="M24" s="7" t="str">
        <f>CONCATENATE("FRCSFN74E15E783D")</f>
        <v>FRCSFN74E15E783D</v>
      </c>
      <c r="N24" s="7" t="s">
        <v>90</v>
      </c>
      <c r="O24" s="7" t="s">
        <v>91</v>
      </c>
      <c r="P24" s="8">
        <v>44495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112677.98</v>
      </c>
      <c r="W24" s="9">
        <v>48586.74</v>
      </c>
      <c r="X24" s="9">
        <v>44868.37</v>
      </c>
      <c r="Y24" s="7">
        <v>0</v>
      </c>
      <c r="Z24" s="9">
        <v>19222.87</v>
      </c>
    </row>
    <row r="25" spans="1:26" x14ac:dyDescent="0.35">
      <c r="A25" s="7" t="s">
        <v>27</v>
      </c>
      <c r="B25" s="7" t="s">
        <v>28</v>
      </c>
      <c r="C25" s="7" t="s">
        <v>47</v>
      </c>
      <c r="D25" s="7" t="s">
        <v>89</v>
      </c>
      <c r="E25" s="7" t="s">
        <v>37</v>
      </c>
      <c r="F25" s="7" t="s">
        <v>37</v>
      </c>
      <c r="G25" s="7">
        <v>2017</v>
      </c>
      <c r="H25" s="7" t="str">
        <f>CONCATENATE("14270287197")</f>
        <v>14270287197</v>
      </c>
      <c r="I25" s="7" t="s">
        <v>29</v>
      </c>
      <c r="J25" s="7" t="s">
        <v>30</v>
      </c>
      <c r="K25" s="7" t="str">
        <f>CONCATENATE("")</f>
        <v/>
      </c>
      <c r="L25" s="7" t="str">
        <f>CONCATENATE("4 4.1 2a")</f>
        <v>4 4.1 2a</v>
      </c>
      <c r="M25" s="7" t="str">
        <f>CONCATENATE("SRNNBR45M25L191Q")</f>
        <v>SRNNBR45M25L191Q</v>
      </c>
      <c r="N25" s="7" t="s">
        <v>92</v>
      </c>
      <c r="O25" s="7" t="s">
        <v>91</v>
      </c>
      <c r="P25" s="8">
        <v>44495</v>
      </c>
      <c r="Q25" s="7" t="s">
        <v>31</v>
      </c>
      <c r="R25" s="7" t="s">
        <v>39</v>
      </c>
      <c r="S25" s="7" t="s">
        <v>33</v>
      </c>
      <c r="T25" s="7"/>
      <c r="U25" s="7" t="s">
        <v>34</v>
      </c>
      <c r="V25" s="9">
        <v>14319.08</v>
      </c>
      <c r="W25" s="9">
        <v>6174.39</v>
      </c>
      <c r="X25" s="9">
        <v>5701.86</v>
      </c>
      <c r="Y25" s="7">
        <v>0</v>
      </c>
      <c r="Z25" s="9">
        <v>2442.83</v>
      </c>
    </row>
    <row r="26" spans="1:26" x14ac:dyDescent="0.35">
      <c r="A26" s="7" t="s">
        <v>27</v>
      </c>
      <c r="B26" s="7" t="s">
        <v>28</v>
      </c>
      <c r="C26" s="7" t="s">
        <v>47</v>
      </c>
      <c r="D26" s="7" t="s">
        <v>89</v>
      </c>
      <c r="E26" s="7" t="s">
        <v>36</v>
      </c>
      <c r="F26" s="7" t="s">
        <v>93</v>
      </c>
      <c r="G26" s="7">
        <v>2017</v>
      </c>
      <c r="H26" s="7" t="str">
        <f>CONCATENATE("14270287171")</f>
        <v>14270287171</v>
      </c>
      <c r="I26" s="7" t="s">
        <v>44</v>
      </c>
      <c r="J26" s="7" t="s">
        <v>30</v>
      </c>
      <c r="K26" s="7" t="str">
        <f>CONCATENATE("")</f>
        <v/>
      </c>
      <c r="L26" s="7" t="str">
        <f>CONCATENATE("4 4.1 2a")</f>
        <v>4 4.1 2a</v>
      </c>
      <c r="M26" s="7" t="str">
        <f>CONCATENATE("00969020437")</f>
        <v>00969020437</v>
      </c>
      <c r="N26" s="7" t="s">
        <v>94</v>
      </c>
      <c r="O26" s="7" t="s">
        <v>91</v>
      </c>
      <c r="P26" s="8">
        <v>44495</v>
      </c>
      <c r="Q26" s="7" t="s">
        <v>31</v>
      </c>
      <c r="R26" s="7" t="s">
        <v>32</v>
      </c>
      <c r="S26" s="7" t="s">
        <v>33</v>
      </c>
      <c r="T26" s="7"/>
      <c r="U26" s="7" t="s">
        <v>34</v>
      </c>
      <c r="V26" s="9">
        <v>58458.57</v>
      </c>
      <c r="W26" s="9">
        <v>25207.34</v>
      </c>
      <c r="X26" s="9">
        <v>23278.2</v>
      </c>
      <c r="Y26" s="7">
        <v>0</v>
      </c>
      <c r="Z26" s="9">
        <v>9973.0300000000007</v>
      </c>
    </row>
    <row r="27" spans="1:26" x14ac:dyDescent="0.35">
      <c r="A27" s="7" t="s">
        <v>27</v>
      </c>
      <c r="B27" s="7" t="s">
        <v>28</v>
      </c>
      <c r="C27" s="7" t="s">
        <v>47</v>
      </c>
      <c r="D27" s="7" t="s">
        <v>48</v>
      </c>
      <c r="E27" s="7" t="s">
        <v>37</v>
      </c>
      <c r="F27" s="7" t="s">
        <v>37</v>
      </c>
      <c r="G27" s="7">
        <v>2017</v>
      </c>
      <c r="H27" s="7" t="str">
        <f>CONCATENATE("14270287189")</f>
        <v>14270287189</v>
      </c>
      <c r="I27" s="7" t="s">
        <v>29</v>
      </c>
      <c r="J27" s="7" t="s">
        <v>30</v>
      </c>
      <c r="K27" s="7" t="str">
        <f>CONCATENATE("")</f>
        <v/>
      </c>
      <c r="L27" s="7" t="str">
        <f>CONCATENATE("4 4.1 2a")</f>
        <v>4 4.1 2a</v>
      </c>
      <c r="M27" s="7" t="str">
        <f>CONCATENATE("ZNTMLS71M41E507C")</f>
        <v>ZNTMLS71M41E507C</v>
      </c>
      <c r="N27" s="7" t="s">
        <v>95</v>
      </c>
      <c r="O27" s="7" t="s">
        <v>91</v>
      </c>
      <c r="P27" s="8">
        <v>44495</v>
      </c>
      <c r="Q27" s="7" t="s">
        <v>31</v>
      </c>
      <c r="R27" s="7" t="s">
        <v>32</v>
      </c>
      <c r="S27" s="7" t="s">
        <v>33</v>
      </c>
      <c r="T27" s="7"/>
      <c r="U27" s="7" t="s">
        <v>34</v>
      </c>
      <c r="V27" s="9">
        <v>8937.61</v>
      </c>
      <c r="W27" s="9">
        <v>3853.9</v>
      </c>
      <c r="X27" s="9">
        <v>3558.96</v>
      </c>
      <c r="Y27" s="7">
        <v>0</v>
      </c>
      <c r="Z27" s="9">
        <v>1524.75</v>
      </c>
    </row>
    <row r="28" spans="1:26" x14ac:dyDescent="0.35">
      <c r="A28" s="7" t="s">
        <v>27</v>
      </c>
      <c r="B28" s="7" t="s">
        <v>28</v>
      </c>
      <c r="C28" s="7" t="s">
        <v>47</v>
      </c>
      <c r="D28" s="7" t="s">
        <v>51</v>
      </c>
      <c r="E28" s="7" t="s">
        <v>37</v>
      </c>
      <c r="F28" s="7" t="s">
        <v>37</v>
      </c>
      <c r="G28" s="7">
        <v>2017</v>
      </c>
      <c r="H28" s="7" t="str">
        <f>CONCATENATE("14270246250")</f>
        <v>14270246250</v>
      </c>
      <c r="I28" s="7" t="s">
        <v>29</v>
      </c>
      <c r="J28" s="7" t="s">
        <v>30</v>
      </c>
      <c r="K28" s="7" t="str">
        <f>CONCATENATE("")</f>
        <v/>
      </c>
      <c r="L28" s="7" t="str">
        <f>CONCATENATE("20 20.1 ")</f>
        <v xml:space="preserve">20 20.1 </v>
      </c>
      <c r="M28" s="7" t="str">
        <f>CONCATENATE("80008630420")</f>
        <v>80008630420</v>
      </c>
      <c r="N28" s="7" t="s">
        <v>96</v>
      </c>
      <c r="O28" s="7" t="s">
        <v>97</v>
      </c>
      <c r="P28" s="8">
        <v>44490</v>
      </c>
      <c r="Q28" s="7" t="s">
        <v>31</v>
      </c>
      <c r="R28" s="7" t="s">
        <v>39</v>
      </c>
      <c r="S28" s="7" t="s">
        <v>33</v>
      </c>
      <c r="T28" s="7"/>
      <c r="U28" s="7" t="s">
        <v>34</v>
      </c>
      <c r="V28" s="9">
        <v>18891.57</v>
      </c>
      <c r="W28" s="9">
        <v>8146.04</v>
      </c>
      <c r="X28" s="9">
        <v>7522.62</v>
      </c>
      <c r="Y28" s="7">
        <v>0</v>
      </c>
      <c r="Z28" s="9">
        <v>3222.91</v>
      </c>
    </row>
    <row r="29" spans="1:26" x14ac:dyDescent="0.35">
      <c r="A29" s="7" t="s">
        <v>27</v>
      </c>
      <c r="B29" s="7" t="s">
        <v>28</v>
      </c>
      <c r="C29" s="7" t="s">
        <v>47</v>
      </c>
      <c r="D29" s="7" t="s">
        <v>51</v>
      </c>
      <c r="E29" s="7" t="s">
        <v>37</v>
      </c>
      <c r="F29" s="7" t="s">
        <v>37</v>
      </c>
      <c r="G29" s="7">
        <v>2017</v>
      </c>
      <c r="H29" s="7" t="str">
        <f>CONCATENATE("14270246243")</f>
        <v>14270246243</v>
      </c>
      <c r="I29" s="7" t="s">
        <v>29</v>
      </c>
      <c r="J29" s="7" t="s">
        <v>30</v>
      </c>
      <c r="K29" s="7" t="str">
        <f>CONCATENATE("")</f>
        <v/>
      </c>
      <c r="L29" s="7" t="str">
        <f>CONCATENATE("20 20.1 ")</f>
        <v xml:space="preserve">20 20.1 </v>
      </c>
      <c r="M29" s="7" t="str">
        <f>CONCATENATE("80008630420")</f>
        <v>80008630420</v>
      </c>
      <c r="N29" s="7" t="s">
        <v>96</v>
      </c>
      <c r="O29" s="7" t="s">
        <v>97</v>
      </c>
      <c r="P29" s="8">
        <v>44490</v>
      </c>
      <c r="Q29" s="7" t="s">
        <v>31</v>
      </c>
      <c r="R29" s="7" t="s">
        <v>39</v>
      </c>
      <c r="S29" s="7" t="s">
        <v>33</v>
      </c>
      <c r="T29" s="7"/>
      <c r="U29" s="7" t="s">
        <v>34</v>
      </c>
      <c r="V29" s="9">
        <v>279349.5</v>
      </c>
      <c r="W29" s="9">
        <v>120455.5</v>
      </c>
      <c r="X29" s="9">
        <v>111236.97</v>
      </c>
      <c r="Y29" s="7">
        <v>0</v>
      </c>
      <c r="Z29" s="9">
        <v>47657.03</v>
      </c>
    </row>
    <row r="30" spans="1:26" x14ac:dyDescent="0.35">
      <c r="A30" s="7" t="s">
        <v>27</v>
      </c>
      <c r="B30" s="7" t="s">
        <v>28</v>
      </c>
      <c r="C30" s="7" t="s">
        <v>47</v>
      </c>
      <c r="D30" s="7" t="s">
        <v>48</v>
      </c>
      <c r="E30" s="7" t="s">
        <v>41</v>
      </c>
      <c r="F30" s="7" t="s">
        <v>60</v>
      </c>
      <c r="G30" s="7">
        <v>2017</v>
      </c>
      <c r="H30" s="7" t="str">
        <f>CONCATENATE("14270284855")</f>
        <v>14270284855</v>
      </c>
      <c r="I30" s="7" t="s">
        <v>44</v>
      </c>
      <c r="J30" s="7" t="s">
        <v>30</v>
      </c>
      <c r="K30" s="7" t="str">
        <f>CONCATENATE("")</f>
        <v/>
      </c>
      <c r="L30" s="7" t="str">
        <f>CONCATENATE("4 4.1 2a")</f>
        <v>4 4.1 2a</v>
      </c>
      <c r="M30" s="7" t="str">
        <f>CONCATENATE("03474081209")</f>
        <v>03474081209</v>
      </c>
      <c r="N30" s="7" t="s">
        <v>98</v>
      </c>
      <c r="O30" s="7" t="s">
        <v>99</v>
      </c>
      <c r="P30" s="8">
        <v>44490</v>
      </c>
      <c r="Q30" s="7" t="s">
        <v>31</v>
      </c>
      <c r="R30" s="7" t="s">
        <v>32</v>
      </c>
      <c r="S30" s="7" t="s">
        <v>33</v>
      </c>
      <c r="T30" s="7"/>
      <c r="U30" s="7" t="s">
        <v>34</v>
      </c>
      <c r="V30" s="9">
        <v>122880.52</v>
      </c>
      <c r="W30" s="9">
        <v>52986.080000000002</v>
      </c>
      <c r="X30" s="9">
        <v>48931.02</v>
      </c>
      <c r="Y30" s="7">
        <v>0</v>
      </c>
      <c r="Z30" s="9">
        <v>20963.419999999998</v>
      </c>
    </row>
    <row r="31" spans="1:26" x14ac:dyDescent="0.35">
      <c r="A31" s="7" t="s">
        <v>27</v>
      </c>
      <c r="B31" s="7" t="s">
        <v>28</v>
      </c>
      <c r="C31" s="7" t="s">
        <v>47</v>
      </c>
      <c r="D31" s="7" t="s">
        <v>51</v>
      </c>
      <c r="E31" s="7" t="s">
        <v>37</v>
      </c>
      <c r="F31" s="7" t="s">
        <v>37</v>
      </c>
      <c r="G31" s="7">
        <v>2017</v>
      </c>
      <c r="H31" s="7" t="str">
        <f>CONCATENATE("14270254783")</f>
        <v>14270254783</v>
      </c>
      <c r="I31" s="7" t="s">
        <v>44</v>
      </c>
      <c r="J31" s="7" t="s">
        <v>30</v>
      </c>
      <c r="K31" s="7" t="str">
        <f>CONCATENATE("")</f>
        <v/>
      </c>
      <c r="L31" s="7" t="str">
        <f>CONCATENATE("4 4.1 2a")</f>
        <v>4 4.1 2a</v>
      </c>
      <c r="M31" s="7" t="str">
        <f>CONCATENATE("BNCNLS40A50H501L")</f>
        <v>BNCNLS40A50H501L</v>
      </c>
      <c r="N31" s="7" t="s">
        <v>100</v>
      </c>
      <c r="O31" s="7" t="s">
        <v>99</v>
      </c>
      <c r="P31" s="8">
        <v>44490</v>
      </c>
      <c r="Q31" s="7" t="s">
        <v>31</v>
      </c>
      <c r="R31" s="7" t="s">
        <v>32</v>
      </c>
      <c r="S31" s="7" t="s">
        <v>33</v>
      </c>
      <c r="T31" s="7"/>
      <c r="U31" s="7" t="s">
        <v>34</v>
      </c>
      <c r="V31" s="9">
        <v>54000</v>
      </c>
      <c r="W31" s="9">
        <v>23284.799999999999</v>
      </c>
      <c r="X31" s="9">
        <v>21502.799999999999</v>
      </c>
      <c r="Y31" s="7">
        <v>0</v>
      </c>
      <c r="Z31" s="9">
        <v>9212.4</v>
      </c>
    </row>
    <row r="32" spans="1:26" x14ac:dyDescent="0.35">
      <c r="A32" s="7" t="s">
        <v>27</v>
      </c>
      <c r="B32" s="7" t="s">
        <v>45</v>
      </c>
      <c r="C32" s="7" t="s">
        <v>47</v>
      </c>
      <c r="D32" s="7" t="s">
        <v>51</v>
      </c>
      <c r="E32" s="7" t="s">
        <v>78</v>
      </c>
      <c r="F32" s="7" t="s">
        <v>79</v>
      </c>
      <c r="G32" s="7">
        <v>2016</v>
      </c>
      <c r="H32" s="7" t="str">
        <f>CONCATENATE("64780025827")</f>
        <v>64780025827</v>
      </c>
      <c r="I32" s="7" t="s">
        <v>29</v>
      </c>
      <c r="J32" s="7" t="s">
        <v>46</v>
      </c>
      <c r="K32" s="7" t="str">
        <f>CONCATENATE("221")</f>
        <v>221</v>
      </c>
      <c r="L32" s="7" t="str">
        <f>CONCATENATE("8 8.1 5e")</f>
        <v>8 8.1 5e</v>
      </c>
      <c r="M32" s="7" t="str">
        <f>CONCATENATE("RCCMND51R66E388B")</f>
        <v>RCCMND51R66E388B</v>
      </c>
      <c r="N32" s="7" t="s">
        <v>101</v>
      </c>
      <c r="O32" s="7" t="s">
        <v>85</v>
      </c>
      <c r="P32" s="8">
        <v>44495</v>
      </c>
      <c r="Q32" s="7" t="s">
        <v>31</v>
      </c>
      <c r="R32" s="7" t="s">
        <v>32</v>
      </c>
      <c r="S32" s="7" t="s">
        <v>33</v>
      </c>
      <c r="T32" s="7"/>
      <c r="U32" s="7" t="s">
        <v>34</v>
      </c>
      <c r="V32" s="7">
        <v>150</v>
      </c>
      <c r="W32" s="7">
        <v>64.680000000000007</v>
      </c>
      <c r="X32" s="7">
        <v>59.73</v>
      </c>
      <c r="Y32" s="7">
        <v>0</v>
      </c>
      <c r="Z32" s="7">
        <v>25.59</v>
      </c>
    </row>
    <row r="33" spans="1:26" x14ac:dyDescent="0.35">
      <c r="A33" s="7" t="s">
        <v>27</v>
      </c>
      <c r="B33" s="7" t="s">
        <v>28</v>
      </c>
      <c r="C33" s="7" t="s">
        <v>47</v>
      </c>
      <c r="D33" s="7" t="s">
        <v>102</v>
      </c>
      <c r="E33" s="7" t="s">
        <v>37</v>
      </c>
      <c r="F33" s="7" t="s">
        <v>37</v>
      </c>
      <c r="G33" s="7">
        <v>2017</v>
      </c>
      <c r="H33" s="7" t="str">
        <f>CONCATENATE("14270285837")</f>
        <v>14270285837</v>
      </c>
      <c r="I33" s="7" t="s">
        <v>29</v>
      </c>
      <c r="J33" s="7" t="s">
        <v>30</v>
      </c>
      <c r="K33" s="7" t="str">
        <f>CONCATENATE("")</f>
        <v/>
      </c>
      <c r="L33" s="7" t="str">
        <f>CONCATENATE("21 21.1 2a")</f>
        <v>21 21.1 2a</v>
      </c>
      <c r="M33" s="7" t="str">
        <f>CONCATENATE("02559760414")</f>
        <v>02559760414</v>
      </c>
      <c r="N33" s="7" t="s">
        <v>103</v>
      </c>
      <c r="O33" s="7" t="s">
        <v>75</v>
      </c>
      <c r="P33" s="8">
        <v>44495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7000</v>
      </c>
      <c r="W33" s="9">
        <v>3018.4</v>
      </c>
      <c r="X33" s="9">
        <v>2787.4</v>
      </c>
      <c r="Y33" s="7">
        <v>0</v>
      </c>
      <c r="Z33" s="9">
        <v>1194.2</v>
      </c>
    </row>
    <row r="34" spans="1:26" x14ac:dyDescent="0.35">
      <c r="A34" s="7" t="s">
        <v>27</v>
      </c>
      <c r="B34" s="7" t="s">
        <v>28</v>
      </c>
      <c r="C34" s="7" t="s">
        <v>47</v>
      </c>
      <c r="D34" s="7" t="s">
        <v>48</v>
      </c>
      <c r="E34" s="7" t="s">
        <v>41</v>
      </c>
      <c r="F34" s="7" t="s">
        <v>60</v>
      </c>
      <c r="G34" s="7">
        <v>2017</v>
      </c>
      <c r="H34" s="7" t="str">
        <f>CONCATENATE("14270287205")</f>
        <v>14270287205</v>
      </c>
      <c r="I34" s="7" t="s">
        <v>29</v>
      </c>
      <c r="J34" s="7" t="s">
        <v>30</v>
      </c>
      <c r="K34" s="7" t="str">
        <f>CONCATENATE("")</f>
        <v/>
      </c>
      <c r="L34" s="7" t="str">
        <f>CONCATENATE("4 4.1 2a")</f>
        <v>4 4.1 2a</v>
      </c>
      <c r="M34" s="7" t="str">
        <f>CONCATENATE("02051090443")</f>
        <v>02051090443</v>
      </c>
      <c r="N34" s="7" t="s">
        <v>104</v>
      </c>
      <c r="O34" s="7" t="s">
        <v>91</v>
      </c>
      <c r="P34" s="8">
        <v>44495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9">
        <v>11061.53</v>
      </c>
      <c r="W34" s="9">
        <v>4769.7299999999996</v>
      </c>
      <c r="X34" s="9">
        <v>4404.7</v>
      </c>
      <c r="Y34" s="7">
        <v>0</v>
      </c>
      <c r="Z34" s="9">
        <v>1887.1</v>
      </c>
    </row>
    <row r="35" spans="1:26" x14ac:dyDescent="0.35">
      <c r="A35" s="7" t="s">
        <v>27</v>
      </c>
      <c r="B35" s="7" t="s">
        <v>45</v>
      </c>
      <c r="C35" s="7" t="s">
        <v>47</v>
      </c>
      <c r="D35" s="7" t="s">
        <v>51</v>
      </c>
      <c r="E35" s="7" t="s">
        <v>36</v>
      </c>
      <c r="F35" s="7" t="s">
        <v>105</v>
      </c>
      <c r="G35" s="7">
        <v>2015</v>
      </c>
      <c r="H35" s="7" t="str">
        <f>CONCATENATE("54735100411")</f>
        <v>54735100411</v>
      </c>
      <c r="I35" s="7" t="s">
        <v>29</v>
      </c>
      <c r="J35" s="7" t="s">
        <v>46</v>
      </c>
      <c r="K35" s="7" t="str">
        <f>CONCATENATE("221")</f>
        <v>221</v>
      </c>
      <c r="L35" s="7" t="str">
        <f>CONCATENATE("8 8.1 5e")</f>
        <v>8 8.1 5e</v>
      </c>
      <c r="M35" s="7" t="str">
        <f>CONCATENATE("MNTDOA54D64B474U")</f>
        <v>MNTDOA54D64B474U</v>
      </c>
      <c r="N35" s="7" t="s">
        <v>106</v>
      </c>
      <c r="O35" s="7" t="s">
        <v>107</v>
      </c>
      <c r="P35" s="8">
        <v>44495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7">
        <v>364.5</v>
      </c>
      <c r="W35" s="7">
        <v>157.16999999999999</v>
      </c>
      <c r="X35" s="7">
        <v>145.13999999999999</v>
      </c>
      <c r="Y35" s="7">
        <v>0</v>
      </c>
      <c r="Z35" s="7">
        <v>62.19</v>
      </c>
    </row>
    <row r="36" spans="1:26" ht="17.5" x14ac:dyDescent="0.35">
      <c r="A36" s="7" t="s">
        <v>27</v>
      </c>
      <c r="B36" s="7" t="s">
        <v>28</v>
      </c>
      <c r="C36" s="7" t="s">
        <v>47</v>
      </c>
      <c r="D36" s="7" t="s">
        <v>102</v>
      </c>
      <c r="E36" s="7" t="s">
        <v>42</v>
      </c>
      <c r="F36" s="7" t="s">
        <v>108</v>
      </c>
      <c r="G36" s="7">
        <v>2017</v>
      </c>
      <c r="H36" s="7" t="str">
        <f>CONCATENATE("14270287163")</f>
        <v>14270287163</v>
      </c>
      <c r="I36" s="7" t="s">
        <v>29</v>
      </c>
      <c r="J36" s="7" t="s">
        <v>30</v>
      </c>
      <c r="K36" s="7" t="str">
        <f>CONCATENATE("")</f>
        <v/>
      </c>
      <c r="L36" s="7" t="str">
        <f>CONCATENATE("3 3.2 3a")</f>
        <v>3 3.2 3a</v>
      </c>
      <c r="M36" s="7" t="str">
        <f>CONCATENATE("01403850413")</f>
        <v>01403850413</v>
      </c>
      <c r="N36" s="7" t="s">
        <v>109</v>
      </c>
      <c r="O36" s="7" t="s">
        <v>110</v>
      </c>
      <c r="P36" s="8">
        <v>44494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9">
        <v>133142.51999999999</v>
      </c>
      <c r="W36" s="9">
        <v>57411.05</v>
      </c>
      <c r="X36" s="9">
        <v>53017.35</v>
      </c>
      <c r="Y36" s="7">
        <v>0</v>
      </c>
      <c r="Z36" s="9">
        <v>22714.12</v>
      </c>
    </row>
    <row r="37" spans="1:26" ht="17.5" x14ac:dyDescent="0.35">
      <c r="A37" s="7" t="s">
        <v>27</v>
      </c>
      <c r="B37" s="7" t="s">
        <v>28</v>
      </c>
      <c r="C37" s="7" t="s">
        <v>47</v>
      </c>
      <c r="D37" s="7" t="s">
        <v>48</v>
      </c>
      <c r="E37" s="7" t="s">
        <v>41</v>
      </c>
      <c r="F37" s="7" t="s">
        <v>60</v>
      </c>
      <c r="G37" s="7">
        <v>2017</v>
      </c>
      <c r="H37" s="7" t="str">
        <f>CONCATENATE("04270233812")</f>
        <v>04270233812</v>
      </c>
      <c r="I37" s="7" t="s">
        <v>44</v>
      </c>
      <c r="J37" s="7" t="s">
        <v>30</v>
      </c>
      <c r="K37" s="7" t="str">
        <f>CONCATENATE("")</f>
        <v/>
      </c>
      <c r="L37" s="7" t="str">
        <f>CONCATENATE("3 3.2 3a")</f>
        <v>3 3.2 3a</v>
      </c>
      <c r="M37" s="7" t="str">
        <f>CONCATENATE("92000660446")</f>
        <v>92000660446</v>
      </c>
      <c r="N37" s="7" t="s">
        <v>111</v>
      </c>
      <c r="O37" s="7" t="s">
        <v>110</v>
      </c>
      <c r="P37" s="8">
        <v>44494</v>
      </c>
      <c r="Q37" s="7" t="s">
        <v>31</v>
      </c>
      <c r="R37" s="7" t="s">
        <v>32</v>
      </c>
      <c r="S37" s="7" t="s">
        <v>33</v>
      </c>
      <c r="T37" s="7"/>
      <c r="U37" s="7" t="s">
        <v>34</v>
      </c>
      <c r="V37" s="9">
        <v>231241.29</v>
      </c>
      <c r="W37" s="9">
        <v>99711.24</v>
      </c>
      <c r="X37" s="9">
        <v>92080.28</v>
      </c>
      <c r="Y37" s="7">
        <v>0</v>
      </c>
      <c r="Z37" s="9">
        <v>39449.769999999997</v>
      </c>
    </row>
    <row r="38" spans="1:26" x14ac:dyDescent="0.35">
      <c r="A38" s="7" t="s">
        <v>27</v>
      </c>
      <c r="B38" s="7" t="s">
        <v>28</v>
      </c>
      <c r="C38" s="7" t="s">
        <v>47</v>
      </c>
      <c r="D38" s="7" t="s">
        <v>47</v>
      </c>
      <c r="E38" s="7" t="s">
        <v>37</v>
      </c>
      <c r="F38" s="7" t="s">
        <v>37</v>
      </c>
      <c r="G38" s="7">
        <v>2017</v>
      </c>
      <c r="H38" s="7" t="str">
        <f>CONCATENATE("14270285365")</f>
        <v>14270285365</v>
      </c>
      <c r="I38" s="7" t="s">
        <v>29</v>
      </c>
      <c r="J38" s="7" t="s">
        <v>30</v>
      </c>
      <c r="K38" s="7" t="str">
        <f>CONCATENATE("")</f>
        <v/>
      </c>
      <c r="L38" s="7" t="str">
        <f>CONCATENATE("19 19.2 6b")</f>
        <v>19 19.2 6b</v>
      </c>
      <c r="M38" s="7" t="str">
        <f>CONCATENATE("00267220432")</f>
        <v>00267220432</v>
      </c>
      <c r="N38" s="7" t="s">
        <v>112</v>
      </c>
      <c r="O38" s="7" t="s">
        <v>113</v>
      </c>
      <c r="P38" s="8">
        <v>44495</v>
      </c>
      <c r="Q38" s="7" t="s">
        <v>31</v>
      </c>
      <c r="R38" s="7" t="s">
        <v>38</v>
      </c>
      <c r="S38" s="7" t="s">
        <v>33</v>
      </c>
      <c r="T38" s="7"/>
      <c r="U38" s="7" t="s">
        <v>34</v>
      </c>
      <c r="V38" s="9">
        <v>22742.91</v>
      </c>
      <c r="W38" s="9">
        <v>9806.74</v>
      </c>
      <c r="X38" s="9">
        <v>9056.23</v>
      </c>
      <c r="Y38" s="7">
        <v>0</v>
      </c>
      <c r="Z38" s="9">
        <v>3879.94</v>
      </c>
    </row>
    <row r="39" spans="1:26" x14ac:dyDescent="0.35">
      <c r="A39" s="7" t="s">
        <v>27</v>
      </c>
      <c r="B39" s="7" t="s">
        <v>28</v>
      </c>
      <c r="C39" s="7" t="s">
        <v>47</v>
      </c>
      <c r="D39" s="7" t="s">
        <v>47</v>
      </c>
      <c r="E39" s="7" t="s">
        <v>37</v>
      </c>
      <c r="F39" s="7" t="s">
        <v>37</v>
      </c>
      <c r="G39" s="7">
        <v>2017</v>
      </c>
      <c r="H39" s="7" t="str">
        <f>CONCATENATE("14270285373")</f>
        <v>14270285373</v>
      </c>
      <c r="I39" s="7" t="s">
        <v>29</v>
      </c>
      <c r="J39" s="7" t="s">
        <v>30</v>
      </c>
      <c r="K39" s="7" t="str">
        <f>CONCATENATE("")</f>
        <v/>
      </c>
      <c r="L39" s="7" t="str">
        <f>CONCATENATE("19 19.2 6b")</f>
        <v>19 19.2 6b</v>
      </c>
      <c r="M39" s="7" t="str">
        <f>CONCATENATE("00264420431")</f>
        <v>00264420431</v>
      </c>
      <c r="N39" s="7" t="s">
        <v>114</v>
      </c>
      <c r="O39" s="7" t="s">
        <v>113</v>
      </c>
      <c r="P39" s="8">
        <v>44495</v>
      </c>
      <c r="Q39" s="7" t="s">
        <v>31</v>
      </c>
      <c r="R39" s="7" t="s">
        <v>38</v>
      </c>
      <c r="S39" s="7" t="s">
        <v>33</v>
      </c>
      <c r="T39" s="7"/>
      <c r="U39" s="7" t="s">
        <v>34</v>
      </c>
      <c r="V39" s="9">
        <v>41593.300000000003</v>
      </c>
      <c r="W39" s="9">
        <v>17935.03</v>
      </c>
      <c r="X39" s="9">
        <v>16562.45</v>
      </c>
      <c r="Y39" s="7">
        <v>0</v>
      </c>
      <c r="Z39" s="9">
        <v>7095.82</v>
      </c>
    </row>
    <row r="40" spans="1:26" x14ac:dyDescent="0.35">
      <c r="A40" s="7" t="s">
        <v>27</v>
      </c>
      <c r="B40" s="7" t="s">
        <v>28</v>
      </c>
      <c r="C40" s="7" t="s">
        <v>47</v>
      </c>
      <c r="D40" s="7" t="s">
        <v>47</v>
      </c>
      <c r="E40" s="7" t="s">
        <v>37</v>
      </c>
      <c r="F40" s="7" t="s">
        <v>37</v>
      </c>
      <c r="G40" s="7">
        <v>2017</v>
      </c>
      <c r="H40" s="7" t="str">
        <f>CONCATENATE("14270285357")</f>
        <v>14270285357</v>
      </c>
      <c r="I40" s="7" t="s">
        <v>29</v>
      </c>
      <c r="J40" s="7" t="s">
        <v>30</v>
      </c>
      <c r="K40" s="7" t="str">
        <f>CONCATENATE("")</f>
        <v/>
      </c>
      <c r="L40" s="7" t="str">
        <f>CONCATENATE("19 19.2 6b")</f>
        <v>19 19.2 6b</v>
      </c>
      <c r="M40" s="7" t="str">
        <f>CONCATENATE("80000110439")</f>
        <v>80000110439</v>
      </c>
      <c r="N40" s="7" t="s">
        <v>115</v>
      </c>
      <c r="O40" s="7" t="s">
        <v>116</v>
      </c>
      <c r="P40" s="8">
        <v>44495</v>
      </c>
      <c r="Q40" s="7" t="s">
        <v>31</v>
      </c>
      <c r="R40" s="7" t="s">
        <v>38</v>
      </c>
      <c r="S40" s="7" t="s">
        <v>33</v>
      </c>
      <c r="T40" s="7"/>
      <c r="U40" s="7" t="s">
        <v>34</v>
      </c>
      <c r="V40" s="9">
        <v>39825.19</v>
      </c>
      <c r="W40" s="9">
        <v>17172.62</v>
      </c>
      <c r="X40" s="9">
        <v>15858.39</v>
      </c>
      <c r="Y40" s="7">
        <v>0</v>
      </c>
      <c r="Z40" s="9">
        <v>6794.18</v>
      </c>
    </row>
    <row r="41" spans="1:26" x14ac:dyDescent="0.35">
      <c r="A41" s="7" t="s">
        <v>27</v>
      </c>
      <c r="B41" s="7" t="s">
        <v>28</v>
      </c>
      <c r="C41" s="7" t="s">
        <v>47</v>
      </c>
      <c r="D41" s="7" t="s">
        <v>47</v>
      </c>
      <c r="E41" s="7" t="s">
        <v>37</v>
      </c>
      <c r="F41" s="7" t="s">
        <v>37</v>
      </c>
      <c r="G41" s="7">
        <v>2017</v>
      </c>
      <c r="H41" s="7" t="str">
        <f>CONCATENATE("14270287296")</f>
        <v>14270287296</v>
      </c>
      <c r="I41" s="7" t="s">
        <v>29</v>
      </c>
      <c r="J41" s="7" t="s">
        <v>30</v>
      </c>
      <c r="K41" s="7" t="str">
        <f>CONCATENATE("")</f>
        <v/>
      </c>
      <c r="L41" s="7" t="str">
        <f>CONCATENATE("19 19.2 6b")</f>
        <v>19 19.2 6b</v>
      </c>
      <c r="M41" s="7" t="str">
        <f>CONCATENATE("81000190439")</f>
        <v>81000190439</v>
      </c>
      <c r="N41" s="7" t="s">
        <v>117</v>
      </c>
      <c r="O41" s="7" t="s">
        <v>118</v>
      </c>
      <c r="P41" s="8">
        <v>44495</v>
      </c>
      <c r="Q41" s="7" t="s">
        <v>31</v>
      </c>
      <c r="R41" s="7" t="s">
        <v>38</v>
      </c>
      <c r="S41" s="7" t="s">
        <v>33</v>
      </c>
      <c r="T41" s="7"/>
      <c r="U41" s="7" t="s">
        <v>34</v>
      </c>
      <c r="V41" s="9">
        <v>92511.65</v>
      </c>
      <c r="W41" s="9">
        <v>39891.019999999997</v>
      </c>
      <c r="X41" s="9">
        <v>36838.14</v>
      </c>
      <c r="Y41" s="7">
        <v>0</v>
      </c>
      <c r="Z41" s="9">
        <v>15782.49</v>
      </c>
    </row>
    <row r="42" spans="1:26" x14ac:dyDescent="0.35">
      <c r="A42" s="7" t="s">
        <v>27</v>
      </c>
      <c r="B42" s="7" t="s">
        <v>28</v>
      </c>
      <c r="C42" s="7" t="s">
        <v>47</v>
      </c>
      <c r="D42" s="7" t="s">
        <v>47</v>
      </c>
      <c r="E42" s="7" t="s">
        <v>37</v>
      </c>
      <c r="F42" s="7" t="s">
        <v>37</v>
      </c>
      <c r="G42" s="7">
        <v>2017</v>
      </c>
      <c r="H42" s="7" t="str">
        <f>CONCATENATE("14270265573")</f>
        <v>14270265573</v>
      </c>
      <c r="I42" s="7" t="s">
        <v>29</v>
      </c>
      <c r="J42" s="7" t="s">
        <v>30</v>
      </c>
      <c r="K42" s="7" t="str">
        <f>CONCATENATE("")</f>
        <v/>
      </c>
      <c r="L42" s="7" t="str">
        <f>CONCATENATE("19 19.2 6b")</f>
        <v>19 19.2 6b</v>
      </c>
      <c r="M42" s="7" t="str">
        <f>CONCATENATE("MNCDVD74E21E388S")</f>
        <v>MNCDVD74E21E388S</v>
      </c>
      <c r="N42" s="7" t="s">
        <v>119</v>
      </c>
      <c r="O42" s="7" t="s">
        <v>120</v>
      </c>
      <c r="P42" s="8">
        <v>44474</v>
      </c>
      <c r="Q42" s="7" t="s">
        <v>31</v>
      </c>
      <c r="R42" s="7" t="s">
        <v>39</v>
      </c>
      <c r="S42" s="7" t="s">
        <v>33</v>
      </c>
      <c r="T42" s="7"/>
      <c r="U42" s="7" t="s">
        <v>34</v>
      </c>
      <c r="V42" s="9">
        <v>15000</v>
      </c>
      <c r="W42" s="9">
        <v>6468</v>
      </c>
      <c r="X42" s="9">
        <v>5973</v>
      </c>
      <c r="Y42" s="7">
        <v>0</v>
      </c>
      <c r="Z42" s="9">
        <v>2559</v>
      </c>
    </row>
    <row r="43" spans="1:26" x14ac:dyDescent="0.35">
      <c r="A43" s="7" t="s">
        <v>27</v>
      </c>
      <c r="B43" s="7" t="s">
        <v>28</v>
      </c>
      <c r="C43" s="7" t="s">
        <v>47</v>
      </c>
      <c r="D43" s="7" t="s">
        <v>47</v>
      </c>
      <c r="E43" s="7" t="s">
        <v>37</v>
      </c>
      <c r="F43" s="7" t="s">
        <v>37</v>
      </c>
      <c r="G43" s="7">
        <v>2017</v>
      </c>
      <c r="H43" s="7" t="str">
        <f>CONCATENATE("14270265565")</f>
        <v>14270265565</v>
      </c>
      <c r="I43" s="7" t="s">
        <v>29</v>
      </c>
      <c r="J43" s="7" t="s">
        <v>30</v>
      </c>
      <c r="K43" s="7" t="str">
        <f>CONCATENATE("")</f>
        <v/>
      </c>
      <c r="L43" s="7" t="str">
        <f>CONCATENATE("19 19.2 6b")</f>
        <v>19 19.2 6b</v>
      </c>
      <c r="M43" s="7" t="str">
        <f>CONCATENATE("02862040421")</f>
        <v>02862040421</v>
      </c>
      <c r="N43" s="7" t="s">
        <v>121</v>
      </c>
      <c r="O43" s="7" t="s">
        <v>120</v>
      </c>
      <c r="P43" s="8">
        <v>44474</v>
      </c>
      <c r="Q43" s="7" t="s">
        <v>31</v>
      </c>
      <c r="R43" s="7" t="s">
        <v>39</v>
      </c>
      <c r="S43" s="7" t="s">
        <v>33</v>
      </c>
      <c r="T43" s="7"/>
      <c r="U43" s="7" t="s">
        <v>34</v>
      </c>
      <c r="V43" s="9">
        <v>15000</v>
      </c>
      <c r="W43" s="9">
        <v>6468</v>
      </c>
      <c r="X43" s="9">
        <v>5973</v>
      </c>
      <c r="Y43" s="7">
        <v>0</v>
      </c>
      <c r="Z43" s="9">
        <v>2559</v>
      </c>
    </row>
    <row r="44" spans="1:26" x14ac:dyDescent="0.35">
      <c r="A44" s="7" t="s">
        <v>27</v>
      </c>
      <c r="B44" s="7" t="s">
        <v>45</v>
      </c>
      <c r="C44" s="7" t="s">
        <v>47</v>
      </c>
      <c r="D44" s="7" t="s">
        <v>51</v>
      </c>
      <c r="E44" s="7" t="s">
        <v>40</v>
      </c>
      <c r="F44" s="7" t="s">
        <v>52</v>
      </c>
      <c r="G44" s="7">
        <v>2017</v>
      </c>
      <c r="H44" s="7" t="str">
        <f>CONCATENATE("74780059379")</f>
        <v>74780059379</v>
      </c>
      <c r="I44" s="7" t="s">
        <v>29</v>
      </c>
      <c r="J44" s="7" t="s">
        <v>46</v>
      </c>
      <c r="K44" s="7" t="str">
        <f>CONCATENATE("221")</f>
        <v>221</v>
      </c>
      <c r="L44" s="7" t="str">
        <f>CONCATENATE("8 8.1 5e")</f>
        <v>8 8.1 5e</v>
      </c>
      <c r="M44" s="7" t="str">
        <f>CONCATENATE("01143960423")</f>
        <v>01143960423</v>
      </c>
      <c r="N44" s="7" t="s">
        <v>122</v>
      </c>
      <c r="O44" s="7" t="s">
        <v>123</v>
      </c>
      <c r="P44" s="8">
        <v>44495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1548.8</v>
      </c>
      <c r="W44" s="7">
        <v>667.84</v>
      </c>
      <c r="X44" s="7">
        <v>616.73</v>
      </c>
      <c r="Y44" s="7">
        <v>0</v>
      </c>
      <c r="Z44" s="7">
        <v>264.23</v>
      </c>
    </row>
    <row r="45" spans="1:26" x14ac:dyDescent="0.35">
      <c r="A45" s="7" t="s">
        <v>27</v>
      </c>
      <c r="B45" s="7" t="s">
        <v>45</v>
      </c>
      <c r="C45" s="7" t="s">
        <v>47</v>
      </c>
      <c r="D45" s="7" t="s">
        <v>51</v>
      </c>
      <c r="E45" s="7" t="s">
        <v>40</v>
      </c>
      <c r="F45" s="7" t="s">
        <v>52</v>
      </c>
      <c r="G45" s="7">
        <v>2017</v>
      </c>
      <c r="H45" s="7" t="str">
        <f>CONCATENATE("74780075318")</f>
        <v>74780075318</v>
      </c>
      <c r="I45" s="7" t="s">
        <v>29</v>
      </c>
      <c r="J45" s="7" t="s">
        <v>46</v>
      </c>
      <c r="K45" s="7" t="str">
        <f>CONCATENATE("221")</f>
        <v>221</v>
      </c>
      <c r="L45" s="7" t="str">
        <f>CONCATENATE("8 8.1 5e")</f>
        <v>8 8.1 5e</v>
      </c>
      <c r="M45" s="7" t="str">
        <f>CONCATENATE("BDTLSN70M28I608V")</f>
        <v>BDTLSN70M28I608V</v>
      </c>
      <c r="N45" s="7" t="s">
        <v>53</v>
      </c>
      <c r="O45" s="7" t="s">
        <v>123</v>
      </c>
      <c r="P45" s="8">
        <v>44495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9">
        <v>3151</v>
      </c>
      <c r="W45" s="9">
        <v>1358.71</v>
      </c>
      <c r="X45" s="9">
        <v>1254.73</v>
      </c>
      <c r="Y45" s="7">
        <v>0</v>
      </c>
      <c r="Z45" s="7">
        <v>537.55999999999995</v>
      </c>
    </row>
    <row r="46" spans="1:26" x14ac:dyDescent="0.35">
      <c r="A46" s="7" t="s">
        <v>27</v>
      </c>
      <c r="B46" s="7" t="s">
        <v>45</v>
      </c>
      <c r="C46" s="7" t="s">
        <v>47</v>
      </c>
      <c r="D46" s="7" t="s">
        <v>51</v>
      </c>
      <c r="E46" s="7" t="s">
        <v>40</v>
      </c>
      <c r="F46" s="7" t="s">
        <v>52</v>
      </c>
      <c r="G46" s="7">
        <v>2017</v>
      </c>
      <c r="H46" s="7" t="str">
        <f>CONCATENATE("74780073461")</f>
        <v>74780073461</v>
      </c>
      <c r="I46" s="7" t="s">
        <v>44</v>
      </c>
      <c r="J46" s="7" t="s">
        <v>46</v>
      </c>
      <c r="K46" s="7" t="str">
        <f>CONCATENATE("221")</f>
        <v>221</v>
      </c>
      <c r="L46" s="7" t="str">
        <f>CONCATENATE("8 8.1 5e")</f>
        <v>8 8.1 5e</v>
      </c>
      <c r="M46" s="7" t="str">
        <f>CONCATENATE("CSTGLN45T17F589X")</f>
        <v>CSTGLN45T17F589X</v>
      </c>
      <c r="N46" s="7" t="s">
        <v>55</v>
      </c>
      <c r="O46" s="7" t="s">
        <v>123</v>
      </c>
      <c r="P46" s="8">
        <v>44495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7">
        <v>346.75</v>
      </c>
      <c r="W46" s="7">
        <v>149.52000000000001</v>
      </c>
      <c r="X46" s="7">
        <v>138.08000000000001</v>
      </c>
      <c r="Y46" s="7">
        <v>0</v>
      </c>
      <c r="Z46" s="7">
        <v>59.15</v>
      </c>
    </row>
    <row r="47" spans="1:26" x14ac:dyDescent="0.35">
      <c r="A47" s="7" t="s">
        <v>27</v>
      </c>
      <c r="B47" s="7" t="s">
        <v>45</v>
      </c>
      <c r="C47" s="7" t="s">
        <v>47</v>
      </c>
      <c r="D47" s="7" t="s">
        <v>51</v>
      </c>
      <c r="E47" s="7" t="s">
        <v>40</v>
      </c>
      <c r="F47" s="7" t="s">
        <v>52</v>
      </c>
      <c r="G47" s="7">
        <v>2017</v>
      </c>
      <c r="H47" s="7" t="str">
        <f>CONCATENATE("74780059973")</f>
        <v>74780059973</v>
      </c>
      <c r="I47" s="7" t="s">
        <v>29</v>
      </c>
      <c r="J47" s="7" t="s">
        <v>46</v>
      </c>
      <c r="K47" s="7" t="str">
        <f>CONCATENATE("221")</f>
        <v>221</v>
      </c>
      <c r="L47" s="7" t="str">
        <f>CONCATENATE("8 8.1 5e")</f>
        <v>8 8.1 5e</v>
      </c>
      <c r="M47" s="7" t="str">
        <f>CONCATENATE("CRSSCR61R29I608H")</f>
        <v>CRSSCR61R29I608H</v>
      </c>
      <c r="N47" s="7" t="s">
        <v>124</v>
      </c>
      <c r="O47" s="7" t="s">
        <v>123</v>
      </c>
      <c r="P47" s="8">
        <v>44495</v>
      </c>
      <c r="Q47" s="7" t="s">
        <v>31</v>
      </c>
      <c r="R47" s="7" t="s">
        <v>32</v>
      </c>
      <c r="S47" s="7" t="s">
        <v>33</v>
      </c>
      <c r="T47" s="7"/>
      <c r="U47" s="7" t="s">
        <v>34</v>
      </c>
      <c r="V47" s="9">
        <v>2355.98</v>
      </c>
      <c r="W47" s="9">
        <v>1015.9</v>
      </c>
      <c r="X47" s="7">
        <v>938.15</v>
      </c>
      <c r="Y47" s="7">
        <v>0</v>
      </c>
      <c r="Z47" s="7">
        <v>401.93</v>
      </c>
    </row>
    <row r="48" spans="1:26" x14ac:dyDescent="0.35">
      <c r="A48" s="7" t="s">
        <v>27</v>
      </c>
      <c r="B48" s="7" t="s">
        <v>28</v>
      </c>
      <c r="C48" s="7" t="s">
        <v>47</v>
      </c>
      <c r="D48" s="7" t="s">
        <v>51</v>
      </c>
      <c r="E48" s="7" t="s">
        <v>78</v>
      </c>
      <c r="F48" s="7" t="s">
        <v>79</v>
      </c>
      <c r="G48" s="7">
        <v>2017</v>
      </c>
      <c r="H48" s="7" t="str">
        <f>CONCATENATE("14270285787")</f>
        <v>14270285787</v>
      </c>
      <c r="I48" s="7" t="s">
        <v>29</v>
      </c>
      <c r="J48" s="7" t="s">
        <v>30</v>
      </c>
      <c r="K48" s="7" t="str">
        <f>CONCATENATE("")</f>
        <v/>
      </c>
      <c r="L48" s="7" t="str">
        <f>CONCATENATE("4 4.1 2a")</f>
        <v>4 4.1 2a</v>
      </c>
      <c r="M48" s="7" t="str">
        <f>CONCATENATE("02575130428")</f>
        <v>02575130428</v>
      </c>
      <c r="N48" s="7" t="s">
        <v>125</v>
      </c>
      <c r="O48" s="7" t="s">
        <v>126</v>
      </c>
      <c r="P48" s="8">
        <v>44490</v>
      </c>
      <c r="Q48" s="7" t="s">
        <v>31</v>
      </c>
      <c r="R48" s="7" t="s">
        <v>32</v>
      </c>
      <c r="S48" s="7" t="s">
        <v>33</v>
      </c>
      <c r="T48" s="7"/>
      <c r="U48" s="7" t="s">
        <v>34</v>
      </c>
      <c r="V48" s="9">
        <v>31140</v>
      </c>
      <c r="W48" s="9">
        <v>13427.57</v>
      </c>
      <c r="X48" s="9">
        <v>12399.95</v>
      </c>
      <c r="Y48" s="7">
        <v>0</v>
      </c>
      <c r="Z48" s="9">
        <v>5312.48</v>
      </c>
    </row>
    <row r="49" spans="1:26" x14ac:dyDescent="0.35">
      <c r="A49" s="7" t="s">
        <v>27</v>
      </c>
      <c r="B49" s="7" t="s">
        <v>45</v>
      </c>
      <c r="C49" s="7" t="s">
        <v>47</v>
      </c>
      <c r="D49" s="7" t="s">
        <v>51</v>
      </c>
      <c r="E49" s="7" t="s">
        <v>36</v>
      </c>
      <c r="F49" s="7" t="s">
        <v>127</v>
      </c>
      <c r="G49" s="7">
        <v>2017</v>
      </c>
      <c r="H49" s="7" t="str">
        <f>CONCATENATE("74780152141")</f>
        <v>74780152141</v>
      </c>
      <c r="I49" s="7" t="s">
        <v>29</v>
      </c>
      <c r="J49" s="7" t="s">
        <v>46</v>
      </c>
      <c r="K49" s="7" t="str">
        <f>CONCATENATE("221")</f>
        <v>221</v>
      </c>
      <c r="L49" s="7" t="str">
        <f>CONCATENATE("8 8.1 5e")</f>
        <v>8 8.1 5e</v>
      </c>
      <c r="M49" s="7" t="str">
        <f>CONCATENATE("GVNGNN35M21A944F")</f>
        <v>GVNGNN35M21A944F</v>
      </c>
      <c r="N49" s="7" t="s">
        <v>128</v>
      </c>
      <c r="O49" s="7" t="s">
        <v>123</v>
      </c>
      <c r="P49" s="8">
        <v>44495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7">
        <v>801</v>
      </c>
      <c r="W49" s="7">
        <v>345.39</v>
      </c>
      <c r="X49" s="7">
        <v>318.95999999999998</v>
      </c>
      <c r="Y49" s="7">
        <v>0</v>
      </c>
      <c r="Z49" s="7">
        <v>136.65</v>
      </c>
    </row>
    <row r="50" spans="1:26" x14ac:dyDescent="0.35">
      <c r="A50" s="7" t="s">
        <v>27</v>
      </c>
      <c r="B50" s="7" t="s">
        <v>45</v>
      </c>
      <c r="C50" s="7" t="s">
        <v>47</v>
      </c>
      <c r="D50" s="7" t="s">
        <v>51</v>
      </c>
      <c r="E50" s="7" t="s">
        <v>43</v>
      </c>
      <c r="F50" s="7" t="s">
        <v>129</v>
      </c>
      <c r="G50" s="7">
        <v>2017</v>
      </c>
      <c r="H50" s="7" t="str">
        <f>CONCATENATE("74780024308")</f>
        <v>74780024308</v>
      </c>
      <c r="I50" s="7" t="s">
        <v>29</v>
      </c>
      <c r="J50" s="7" t="s">
        <v>46</v>
      </c>
      <c r="K50" s="7" t="str">
        <f>CONCATENATE("221")</f>
        <v>221</v>
      </c>
      <c r="L50" s="7" t="str">
        <f>CONCATENATE("8 8.1 5e")</f>
        <v>8 8.1 5e</v>
      </c>
      <c r="M50" s="7" t="str">
        <f>CONCATENATE("RCCRNT48C28I461H")</f>
        <v>RCCRNT48C28I461H</v>
      </c>
      <c r="N50" s="7" t="s">
        <v>130</v>
      </c>
      <c r="O50" s="7" t="s">
        <v>123</v>
      </c>
      <c r="P50" s="8">
        <v>44495</v>
      </c>
      <c r="Q50" s="7" t="s">
        <v>31</v>
      </c>
      <c r="R50" s="7" t="s">
        <v>32</v>
      </c>
      <c r="S50" s="7" t="s">
        <v>33</v>
      </c>
      <c r="T50" s="7"/>
      <c r="U50" s="7" t="s">
        <v>34</v>
      </c>
      <c r="V50" s="7">
        <v>367.22</v>
      </c>
      <c r="W50" s="7">
        <v>158.35</v>
      </c>
      <c r="X50" s="7">
        <v>146.22999999999999</v>
      </c>
      <c r="Y50" s="7">
        <v>0</v>
      </c>
      <c r="Z50" s="7">
        <v>62.64</v>
      </c>
    </row>
    <row r="51" spans="1:26" x14ac:dyDescent="0.35">
      <c r="A51" s="7" t="s">
        <v>27</v>
      </c>
      <c r="B51" s="7" t="s">
        <v>28</v>
      </c>
      <c r="C51" s="7" t="s">
        <v>47</v>
      </c>
      <c r="D51" s="7" t="s">
        <v>47</v>
      </c>
      <c r="E51" s="7" t="s">
        <v>37</v>
      </c>
      <c r="F51" s="7" t="s">
        <v>37</v>
      </c>
      <c r="G51" s="7">
        <v>2017</v>
      </c>
      <c r="H51" s="7" t="str">
        <f>CONCATENATE("14270284954")</f>
        <v>14270284954</v>
      </c>
      <c r="I51" s="7" t="s">
        <v>44</v>
      </c>
      <c r="J51" s="7" t="s">
        <v>30</v>
      </c>
      <c r="K51" s="7" t="str">
        <f>CONCATENATE("")</f>
        <v/>
      </c>
      <c r="L51" s="7" t="str">
        <f>CONCATENATE("19 19.2 6b")</f>
        <v>19 19.2 6b</v>
      </c>
      <c r="M51" s="7" t="str">
        <f>CONCATENATE("81001750447")</f>
        <v>81001750447</v>
      </c>
      <c r="N51" s="7" t="s">
        <v>131</v>
      </c>
      <c r="O51" s="7" t="s">
        <v>132</v>
      </c>
      <c r="P51" s="8">
        <v>44490</v>
      </c>
      <c r="Q51" s="7" t="s">
        <v>31</v>
      </c>
      <c r="R51" s="7" t="s">
        <v>32</v>
      </c>
      <c r="S51" s="7" t="s">
        <v>33</v>
      </c>
      <c r="T51" s="7"/>
      <c r="U51" s="7" t="s">
        <v>34</v>
      </c>
      <c r="V51" s="9">
        <v>58294.95</v>
      </c>
      <c r="W51" s="9">
        <v>25136.78</v>
      </c>
      <c r="X51" s="9">
        <v>23213.05</v>
      </c>
      <c r="Y51" s="7">
        <v>0</v>
      </c>
      <c r="Z51" s="9">
        <v>9945.1200000000008</v>
      </c>
    </row>
    <row r="52" spans="1:26" x14ac:dyDescent="0.35">
      <c r="A52" s="7" t="s">
        <v>27</v>
      </c>
      <c r="B52" s="7" t="s">
        <v>28</v>
      </c>
      <c r="C52" s="7" t="s">
        <v>47</v>
      </c>
      <c r="D52" s="7" t="s">
        <v>47</v>
      </c>
      <c r="E52" s="7" t="s">
        <v>37</v>
      </c>
      <c r="F52" s="7" t="s">
        <v>37</v>
      </c>
      <c r="G52" s="7">
        <v>2017</v>
      </c>
      <c r="H52" s="7" t="str">
        <f>CONCATENATE("14270284962")</f>
        <v>14270284962</v>
      </c>
      <c r="I52" s="7" t="s">
        <v>29</v>
      </c>
      <c r="J52" s="7" t="s">
        <v>30</v>
      </c>
      <c r="K52" s="7" t="str">
        <f>CONCATENATE("")</f>
        <v/>
      </c>
      <c r="L52" s="7" t="str">
        <f>CONCATENATE("19 19.2 6b")</f>
        <v>19 19.2 6b</v>
      </c>
      <c r="M52" s="7" t="str">
        <f>CONCATENATE("00390830446")</f>
        <v>00390830446</v>
      </c>
      <c r="N52" s="7" t="s">
        <v>133</v>
      </c>
      <c r="O52" s="7" t="s">
        <v>132</v>
      </c>
      <c r="P52" s="8">
        <v>44490</v>
      </c>
      <c r="Q52" s="7" t="s">
        <v>31</v>
      </c>
      <c r="R52" s="7" t="s">
        <v>32</v>
      </c>
      <c r="S52" s="7" t="s">
        <v>33</v>
      </c>
      <c r="T52" s="7"/>
      <c r="U52" s="7" t="s">
        <v>34</v>
      </c>
      <c r="V52" s="9">
        <v>29309.119999999999</v>
      </c>
      <c r="W52" s="9">
        <v>12638.09</v>
      </c>
      <c r="X52" s="9">
        <v>11670.89</v>
      </c>
      <c r="Y52" s="7">
        <v>0</v>
      </c>
      <c r="Z52" s="9">
        <v>5000.1400000000003</v>
      </c>
    </row>
    <row r="53" spans="1:26" x14ac:dyDescent="0.35">
      <c r="A53" s="7" t="s">
        <v>27</v>
      </c>
      <c r="B53" s="7" t="s">
        <v>28</v>
      </c>
      <c r="C53" s="7" t="s">
        <v>47</v>
      </c>
      <c r="D53" s="7" t="s">
        <v>47</v>
      </c>
      <c r="E53" s="7" t="s">
        <v>37</v>
      </c>
      <c r="F53" s="7" t="s">
        <v>37</v>
      </c>
      <c r="G53" s="7">
        <v>2017</v>
      </c>
      <c r="H53" s="7" t="str">
        <f>CONCATENATE("14270284103")</f>
        <v>14270284103</v>
      </c>
      <c r="I53" s="7" t="s">
        <v>29</v>
      </c>
      <c r="J53" s="7" t="s">
        <v>30</v>
      </c>
      <c r="K53" s="7" t="str">
        <f>CONCATENATE("")</f>
        <v/>
      </c>
      <c r="L53" s="7" t="str">
        <f>CONCATENATE("19 19.2 6b")</f>
        <v>19 19.2 6b</v>
      </c>
      <c r="M53" s="7" t="str">
        <f>CONCATENATE("00137890430")</f>
        <v>00137890430</v>
      </c>
      <c r="N53" s="7" t="s">
        <v>134</v>
      </c>
      <c r="O53" s="7" t="s">
        <v>135</v>
      </c>
      <c r="P53" s="8">
        <v>44490</v>
      </c>
      <c r="Q53" s="7" t="s">
        <v>31</v>
      </c>
      <c r="R53" s="7" t="s">
        <v>38</v>
      </c>
      <c r="S53" s="7" t="s">
        <v>33</v>
      </c>
      <c r="T53" s="7"/>
      <c r="U53" s="7" t="s">
        <v>34</v>
      </c>
      <c r="V53" s="9">
        <v>42880.72</v>
      </c>
      <c r="W53" s="9">
        <v>18490.169999999998</v>
      </c>
      <c r="X53" s="9">
        <v>17075.099999999999</v>
      </c>
      <c r="Y53" s="7">
        <v>0</v>
      </c>
      <c r="Z53" s="9">
        <v>7315.45</v>
      </c>
    </row>
    <row r="54" spans="1:26" x14ac:dyDescent="0.35">
      <c r="A54" s="7" t="s">
        <v>27</v>
      </c>
      <c r="B54" s="7" t="s">
        <v>28</v>
      </c>
      <c r="C54" s="7" t="s">
        <v>47</v>
      </c>
      <c r="D54" s="7" t="s">
        <v>51</v>
      </c>
      <c r="E54" s="7" t="s">
        <v>37</v>
      </c>
      <c r="F54" s="7" t="s">
        <v>37</v>
      </c>
      <c r="G54" s="7">
        <v>2017</v>
      </c>
      <c r="H54" s="7" t="str">
        <f>CONCATENATE("14270283022")</f>
        <v>14270283022</v>
      </c>
      <c r="I54" s="7" t="s">
        <v>29</v>
      </c>
      <c r="J54" s="7" t="s">
        <v>30</v>
      </c>
      <c r="K54" s="7" t="str">
        <f>CONCATENATE("")</f>
        <v/>
      </c>
      <c r="L54" s="7" t="str">
        <f>CONCATENATE("4 4.1 2a")</f>
        <v>4 4.1 2a</v>
      </c>
      <c r="M54" s="7" t="str">
        <f>CONCATENATE("PRLRMN73B44E388N")</f>
        <v>PRLRMN73B44E388N</v>
      </c>
      <c r="N54" s="7" t="s">
        <v>136</v>
      </c>
      <c r="O54" s="7" t="s">
        <v>126</v>
      </c>
      <c r="P54" s="8">
        <v>44490</v>
      </c>
      <c r="Q54" s="7" t="s">
        <v>31</v>
      </c>
      <c r="R54" s="7" t="s">
        <v>32</v>
      </c>
      <c r="S54" s="7" t="s">
        <v>33</v>
      </c>
      <c r="T54" s="7"/>
      <c r="U54" s="7" t="s">
        <v>34</v>
      </c>
      <c r="V54" s="9">
        <v>35486.42</v>
      </c>
      <c r="W54" s="9">
        <v>15301.74</v>
      </c>
      <c r="X54" s="9">
        <v>14130.69</v>
      </c>
      <c r="Y54" s="7">
        <v>0</v>
      </c>
      <c r="Z54" s="9">
        <v>6053.99</v>
      </c>
    </row>
    <row r="55" spans="1:26" ht="17.5" x14ac:dyDescent="0.35">
      <c r="A55" s="7" t="s">
        <v>27</v>
      </c>
      <c r="B55" s="7" t="s">
        <v>28</v>
      </c>
      <c r="C55" s="7" t="s">
        <v>47</v>
      </c>
      <c r="D55" s="7" t="s">
        <v>51</v>
      </c>
      <c r="E55" s="7" t="s">
        <v>37</v>
      </c>
      <c r="F55" s="7" t="s">
        <v>37</v>
      </c>
      <c r="G55" s="7">
        <v>2017</v>
      </c>
      <c r="H55" s="7" t="str">
        <f>CONCATENATE("94270174819")</f>
        <v>94270174819</v>
      </c>
      <c r="I55" s="7" t="s">
        <v>29</v>
      </c>
      <c r="J55" s="7" t="s">
        <v>30</v>
      </c>
      <c r="K55" s="7" t="str">
        <f>CONCATENATE("")</f>
        <v/>
      </c>
      <c r="L55" s="7" t="str">
        <f>CONCATENATE("4 4.2 3a")</f>
        <v>4 4.2 3a</v>
      </c>
      <c r="M55" s="7" t="str">
        <f>CONCATENATE("02326920424")</f>
        <v>02326920424</v>
      </c>
      <c r="N55" s="7" t="s">
        <v>137</v>
      </c>
      <c r="O55" s="7" t="s">
        <v>138</v>
      </c>
      <c r="P55" s="8">
        <v>44494</v>
      </c>
      <c r="Q55" s="7" t="s">
        <v>31</v>
      </c>
      <c r="R55" s="7" t="s">
        <v>32</v>
      </c>
      <c r="S55" s="7" t="s">
        <v>33</v>
      </c>
      <c r="T55" s="7"/>
      <c r="U55" s="7" t="s">
        <v>34</v>
      </c>
      <c r="V55" s="9">
        <v>318761.33</v>
      </c>
      <c r="W55" s="9">
        <v>137449.89000000001</v>
      </c>
      <c r="X55" s="9">
        <v>126930.76</v>
      </c>
      <c r="Y55" s="7">
        <v>0</v>
      </c>
      <c r="Z55" s="9">
        <v>54380.68</v>
      </c>
    </row>
    <row r="56" spans="1:26" x14ac:dyDescent="0.35">
      <c r="A56" s="7" t="s">
        <v>27</v>
      </c>
      <c r="B56" s="7" t="s">
        <v>28</v>
      </c>
      <c r="C56" s="7" t="s">
        <v>47</v>
      </c>
      <c r="D56" s="7" t="s">
        <v>89</v>
      </c>
      <c r="E56" s="7" t="s">
        <v>37</v>
      </c>
      <c r="F56" s="7" t="s">
        <v>37</v>
      </c>
      <c r="G56" s="7">
        <v>2017</v>
      </c>
      <c r="H56" s="7" t="str">
        <f>CONCATENATE("14270287064")</f>
        <v>14270287064</v>
      </c>
      <c r="I56" s="7" t="s">
        <v>29</v>
      </c>
      <c r="J56" s="7" t="s">
        <v>30</v>
      </c>
      <c r="K56" s="7" t="str">
        <f>CONCATENATE("")</f>
        <v/>
      </c>
      <c r="L56" s="7" t="str">
        <f>CONCATENATE("4 4.1 2a")</f>
        <v>4 4.1 2a</v>
      </c>
      <c r="M56" s="7" t="str">
        <f>CONCATENATE("PRGSFN92T03E783D")</f>
        <v>PRGSFN92T03E783D</v>
      </c>
      <c r="N56" s="7" t="s">
        <v>139</v>
      </c>
      <c r="O56" s="7" t="s">
        <v>140</v>
      </c>
      <c r="P56" s="8">
        <v>44494</v>
      </c>
      <c r="Q56" s="7" t="s">
        <v>31</v>
      </c>
      <c r="R56" s="7" t="s">
        <v>32</v>
      </c>
      <c r="S56" s="7" t="s">
        <v>33</v>
      </c>
      <c r="T56" s="7"/>
      <c r="U56" s="7" t="s">
        <v>34</v>
      </c>
      <c r="V56" s="9">
        <v>68643.69</v>
      </c>
      <c r="W56" s="9">
        <v>29599.16</v>
      </c>
      <c r="X56" s="9">
        <v>27333.919999999998</v>
      </c>
      <c r="Y56" s="7">
        <v>0</v>
      </c>
      <c r="Z56" s="9">
        <v>11710.61</v>
      </c>
    </row>
    <row r="57" spans="1:26" x14ac:dyDescent="0.35">
      <c r="A57" s="7" t="s">
        <v>27</v>
      </c>
      <c r="B57" s="7" t="s">
        <v>28</v>
      </c>
      <c r="C57" s="7" t="s">
        <v>47</v>
      </c>
      <c r="D57" s="7" t="s">
        <v>89</v>
      </c>
      <c r="E57" s="7" t="s">
        <v>37</v>
      </c>
      <c r="F57" s="7" t="s">
        <v>37</v>
      </c>
      <c r="G57" s="7">
        <v>2017</v>
      </c>
      <c r="H57" s="7" t="str">
        <f>CONCATENATE("14270287130")</f>
        <v>14270287130</v>
      </c>
      <c r="I57" s="7" t="s">
        <v>29</v>
      </c>
      <c r="J57" s="7" t="s">
        <v>30</v>
      </c>
      <c r="K57" s="7" t="str">
        <f>CONCATENATE("")</f>
        <v/>
      </c>
      <c r="L57" s="7" t="str">
        <f>CONCATENATE("4 4.1 2a")</f>
        <v>4 4.1 2a</v>
      </c>
      <c r="M57" s="7" t="str">
        <f>CONCATENATE("BRRGRG94A28I156Q")</f>
        <v>BRRGRG94A28I156Q</v>
      </c>
      <c r="N57" s="7" t="s">
        <v>141</v>
      </c>
      <c r="O57" s="7" t="s">
        <v>142</v>
      </c>
      <c r="P57" s="8">
        <v>44495</v>
      </c>
      <c r="Q57" s="7" t="s">
        <v>31</v>
      </c>
      <c r="R57" s="7" t="s">
        <v>32</v>
      </c>
      <c r="S57" s="7" t="s">
        <v>33</v>
      </c>
      <c r="T57" s="7"/>
      <c r="U57" s="7" t="s">
        <v>34</v>
      </c>
      <c r="V57" s="9">
        <v>42560.959999999999</v>
      </c>
      <c r="W57" s="9">
        <v>18352.29</v>
      </c>
      <c r="X57" s="9">
        <v>16947.77</v>
      </c>
      <c r="Y57" s="7">
        <v>0</v>
      </c>
      <c r="Z57" s="9">
        <v>7260.9</v>
      </c>
    </row>
    <row r="58" spans="1:26" x14ac:dyDescent="0.35">
      <c r="A58" s="7" t="s">
        <v>27</v>
      </c>
      <c r="B58" s="7" t="s">
        <v>45</v>
      </c>
      <c r="C58" s="7" t="s">
        <v>47</v>
      </c>
      <c r="D58" s="7" t="s">
        <v>102</v>
      </c>
      <c r="E58" s="7" t="s">
        <v>36</v>
      </c>
      <c r="F58" s="7" t="s">
        <v>143</v>
      </c>
      <c r="G58" s="7">
        <v>2014</v>
      </c>
      <c r="H58" s="7" t="str">
        <f>CONCATENATE("44730100987")</f>
        <v>44730100987</v>
      </c>
      <c r="I58" s="7" t="s">
        <v>29</v>
      </c>
      <c r="J58" s="7" t="s">
        <v>46</v>
      </c>
      <c r="K58" s="7" t="str">
        <f>CONCATENATE("221")</f>
        <v>221</v>
      </c>
      <c r="L58" s="7" t="str">
        <f>CONCATENATE("8 8.1 5e")</f>
        <v>8 8.1 5e</v>
      </c>
      <c r="M58" s="7" t="str">
        <f>CONCATENATE("CRLCRL60S27D749I")</f>
        <v>CRLCRL60S27D749I</v>
      </c>
      <c r="N58" s="7" t="s">
        <v>144</v>
      </c>
      <c r="O58" s="7" t="s">
        <v>145</v>
      </c>
      <c r="P58" s="8">
        <v>44495</v>
      </c>
      <c r="Q58" s="7" t="s">
        <v>31</v>
      </c>
      <c r="R58" s="7" t="s">
        <v>32</v>
      </c>
      <c r="S58" s="7" t="s">
        <v>33</v>
      </c>
      <c r="T58" s="7"/>
      <c r="U58" s="7" t="s">
        <v>34</v>
      </c>
      <c r="V58" s="7">
        <v>135.83000000000001</v>
      </c>
      <c r="W58" s="7">
        <v>58.57</v>
      </c>
      <c r="X58" s="7">
        <v>54.09</v>
      </c>
      <c r="Y58" s="7">
        <v>0</v>
      </c>
      <c r="Z58" s="7">
        <v>23.17</v>
      </c>
    </row>
    <row r="59" spans="1:26" x14ac:dyDescent="0.35">
      <c r="A59" s="7" t="s">
        <v>27</v>
      </c>
      <c r="B59" s="7" t="s">
        <v>45</v>
      </c>
      <c r="C59" s="7" t="s">
        <v>47</v>
      </c>
      <c r="D59" s="7" t="s">
        <v>102</v>
      </c>
      <c r="E59" s="7" t="s">
        <v>36</v>
      </c>
      <c r="F59" s="7" t="s">
        <v>143</v>
      </c>
      <c r="G59" s="7">
        <v>2014</v>
      </c>
      <c r="H59" s="7" t="str">
        <f>CONCATENATE("44730099478")</f>
        <v>44730099478</v>
      </c>
      <c r="I59" s="7" t="s">
        <v>29</v>
      </c>
      <c r="J59" s="7" t="s">
        <v>46</v>
      </c>
      <c r="K59" s="7" t="str">
        <f>CONCATENATE("221")</f>
        <v>221</v>
      </c>
      <c r="L59" s="7" t="str">
        <f>CONCATENATE("8 8.1 5e")</f>
        <v>8 8.1 5e</v>
      </c>
      <c r="M59" s="7" t="str">
        <f>CONCATENATE("GSCGPP63R09D488S")</f>
        <v>GSCGPP63R09D488S</v>
      </c>
      <c r="N59" s="7" t="s">
        <v>146</v>
      </c>
      <c r="O59" s="7" t="s">
        <v>145</v>
      </c>
      <c r="P59" s="8">
        <v>44495</v>
      </c>
      <c r="Q59" s="7" t="s">
        <v>31</v>
      </c>
      <c r="R59" s="7" t="s">
        <v>32</v>
      </c>
      <c r="S59" s="7" t="s">
        <v>33</v>
      </c>
      <c r="T59" s="7"/>
      <c r="U59" s="7" t="s">
        <v>34</v>
      </c>
      <c r="V59" s="7">
        <v>168.42</v>
      </c>
      <c r="W59" s="7">
        <v>72.62</v>
      </c>
      <c r="X59" s="7">
        <v>67.06</v>
      </c>
      <c r="Y59" s="7">
        <v>0</v>
      </c>
      <c r="Z59" s="7">
        <v>28.74</v>
      </c>
    </row>
    <row r="60" spans="1:26" x14ac:dyDescent="0.35">
      <c r="A60" s="7" t="s">
        <v>27</v>
      </c>
      <c r="B60" s="7" t="s">
        <v>45</v>
      </c>
      <c r="C60" s="7" t="s">
        <v>47</v>
      </c>
      <c r="D60" s="7" t="s">
        <v>51</v>
      </c>
      <c r="E60" s="7" t="s">
        <v>41</v>
      </c>
      <c r="F60" s="7" t="s">
        <v>147</v>
      </c>
      <c r="G60" s="7">
        <v>2014</v>
      </c>
      <c r="H60" s="7" t="str">
        <f>CONCATENATE("44730012612")</f>
        <v>44730012612</v>
      </c>
      <c r="I60" s="7" t="s">
        <v>29</v>
      </c>
      <c r="J60" s="7" t="s">
        <v>46</v>
      </c>
      <c r="K60" s="7" t="str">
        <f>CONCATENATE("221")</f>
        <v>221</v>
      </c>
      <c r="L60" s="7" t="str">
        <f>CONCATENATE("8 8.1 5e")</f>
        <v>8 8.1 5e</v>
      </c>
      <c r="M60" s="7" t="str">
        <f>CONCATENATE("BRCLNZ59P16A092E")</f>
        <v>BRCLNZ59P16A092E</v>
      </c>
      <c r="N60" s="7" t="s">
        <v>148</v>
      </c>
      <c r="O60" s="7" t="s">
        <v>145</v>
      </c>
      <c r="P60" s="8">
        <v>44495</v>
      </c>
      <c r="Q60" s="7" t="s">
        <v>31</v>
      </c>
      <c r="R60" s="7" t="s">
        <v>32</v>
      </c>
      <c r="S60" s="7" t="s">
        <v>33</v>
      </c>
      <c r="T60" s="7"/>
      <c r="U60" s="7" t="s">
        <v>34</v>
      </c>
      <c r="V60" s="7">
        <v>633.85</v>
      </c>
      <c r="W60" s="7">
        <v>273.32</v>
      </c>
      <c r="X60" s="7">
        <v>252.4</v>
      </c>
      <c r="Y60" s="7">
        <v>0</v>
      </c>
      <c r="Z60" s="7">
        <v>108.13</v>
      </c>
    </row>
    <row r="61" spans="1:26" x14ac:dyDescent="0.35">
      <c r="A61" s="7" t="s">
        <v>27</v>
      </c>
      <c r="B61" s="7" t="s">
        <v>28</v>
      </c>
      <c r="C61" s="7" t="s">
        <v>47</v>
      </c>
      <c r="D61" s="7" t="s">
        <v>51</v>
      </c>
      <c r="E61" s="7" t="s">
        <v>43</v>
      </c>
      <c r="F61" s="7" t="s">
        <v>129</v>
      </c>
      <c r="G61" s="7">
        <v>2017</v>
      </c>
      <c r="H61" s="7" t="str">
        <f>CONCATENATE("14270284202")</f>
        <v>14270284202</v>
      </c>
      <c r="I61" s="7" t="s">
        <v>29</v>
      </c>
      <c r="J61" s="7" t="s">
        <v>30</v>
      </c>
      <c r="K61" s="7" t="str">
        <f>CONCATENATE("")</f>
        <v/>
      </c>
      <c r="L61" s="7" t="str">
        <f>CONCATENATE("8 8.1 5e")</f>
        <v>8 8.1 5e</v>
      </c>
      <c r="M61" s="7" t="str">
        <f>CONCATENATE("CSRGLN56A13E837V")</f>
        <v>CSRGLN56A13E837V</v>
      </c>
      <c r="N61" s="7" t="s">
        <v>149</v>
      </c>
      <c r="O61" s="7" t="s">
        <v>150</v>
      </c>
      <c r="P61" s="8">
        <v>44490</v>
      </c>
      <c r="Q61" s="7" t="s">
        <v>31</v>
      </c>
      <c r="R61" s="7" t="s">
        <v>32</v>
      </c>
      <c r="S61" s="7" t="s">
        <v>33</v>
      </c>
      <c r="T61" s="7"/>
      <c r="U61" s="7" t="s">
        <v>34</v>
      </c>
      <c r="V61" s="9">
        <v>20602.509999999998</v>
      </c>
      <c r="W61" s="9">
        <v>8883.7999999999993</v>
      </c>
      <c r="X61" s="9">
        <v>8203.92</v>
      </c>
      <c r="Y61" s="7">
        <v>0</v>
      </c>
      <c r="Z61" s="9">
        <v>3514.79</v>
      </c>
    </row>
    <row r="62" spans="1:26" x14ac:dyDescent="0.35">
      <c r="A62" s="7" t="s">
        <v>27</v>
      </c>
      <c r="B62" s="7" t="s">
        <v>28</v>
      </c>
      <c r="C62" s="7" t="s">
        <v>47</v>
      </c>
      <c r="D62" s="7" t="s">
        <v>51</v>
      </c>
      <c r="E62" s="7" t="s">
        <v>40</v>
      </c>
      <c r="F62" s="7" t="s">
        <v>151</v>
      </c>
      <c r="G62" s="7">
        <v>2017</v>
      </c>
      <c r="H62" s="7" t="str">
        <f>CONCATENATE("14270283030")</f>
        <v>14270283030</v>
      </c>
      <c r="I62" s="7" t="s">
        <v>29</v>
      </c>
      <c r="J62" s="7" t="s">
        <v>30</v>
      </c>
      <c r="K62" s="7" t="str">
        <f>CONCATENATE("")</f>
        <v/>
      </c>
      <c r="L62" s="7" t="str">
        <f>CONCATENATE("4 4.1 2a")</f>
        <v>4 4.1 2a</v>
      </c>
      <c r="M62" s="7" t="str">
        <f>CONCATENATE("MZZSDR48C14I608A")</f>
        <v>MZZSDR48C14I608A</v>
      </c>
      <c r="N62" s="7" t="s">
        <v>152</v>
      </c>
      <c r="O62" s="7" t="s">
        <v>126</v>
      </c>
      <c r="P62" s="8">
        <v>44490</v>
      </c>
      <c r="Q62" s="7" t="s">
        <v>31</v>
      </c>
      <c r="R62" s="7" t="s">
        <v>32</v>
      </c>
      <c r="S62" s="7" t="s">
        <v>33</v>
      </c>
      <c r="T62" s="7"/>
      <c r="U62" s="7" t="s">
        <v>34</v>
      </c>
      <c r="V62" s="9">
        <v>41717.1</v>
      </c>
      <c r="W62" s="9">
        <v>17988.41</v>
      </c>
      <c r="X62" s="9">
        <v>16611.75</v>
      </c>
      <c r="Y62" s="7">
        <v>0</v>
      </c>
      <c r="Z62" s="9">
        <v>7116.94</v>
      </c>
    </row>
    <row r="63" spans="1:26" x14ac:dyDescent="0.35">
      <c r="A63" s="7" t="s">
        <v>27</v>
      </c>
      <c r="B63" s="7" t="s">
        <v>28</v>
      </c>
      <c r="C63" s="7" t="s">
        <v>47</v>
      </c>
      <c r="D63" s="7" t="s">
        <v>48</v>
      </c>
      <c r="E63" s="7" t="s">
        <v>37</v>
      </c>
      <c r="F63" s="7" t="s">
        <v>37</v>
      </c>
      <c r="G63" s="7">
        <v>2017</v>
      </c>
      <c r="H63" s="7" t="str">
        <f>CONCATENATE("14270278170")</f>
        <v>14270278170</v>
      </c>
      <c r="I63" s="7" t="s">
        <v>29</v>
      </c>
      <c r="J63" s="7" t="s">
        <v>30</v>
      </c>
      <c r="K63" s="7" t="str">
        <f>CONCATENATE("")</f>
        <v/>
      </c>
      <c r="L63" s="7" t="str">
        <f>CONCATENATE("6 6.4 2a")</f>
        <v>6 6.4 2a</v>
      </c>
      <c r="M63" s="7" t="str">
        <f>CONCATENATE("02270700442")</f>
        <v>02270700442</v>
      </c>
      <c r="N63" s="7" t="s">
        <v>68</v>
      </c>
      <c r="O63" s="7" t="s">
        <v>153</v>
      </c>
      <c r="P63" s="8">
        <v>44490</v>
      </c>
      <c r="Q63" s="7" t="s">
        <v>31</v>
      </c>
      <c r="R63" s="7" t="s">
        <v>32</v>
      </c>
      <c r="S63" s="7" t="s">
        <v>33</v>
      </c>
      <c r="T63" s="7"/>
      <c r="U63" s="7" t="s">
        <v>34</v>
      </c>
      <c r="V63" s="9">
        <v>12574.45</v>
      </c>
      <c r="W63" s="9">
        <v>5422.1</v>
      </c>
      <c r="X63" s="9">
        <v>5007.1499999999996</v>
      </c>
      <c r="Y63" s="7">
        <v>0</v>
      </c>
      <c r="Z63" s="9">
        <v>2145.1999999999998</v>
      </c>
    </row>
    <row r="64" spans="1:26" x14ac:dyDescent="0.35">
      <c r="A64" s="7" t="s">
        <v>27</v>
      </c>
      <c r="B64" s="7" t="s">
        <v>28</v>
      </c>
      <c r="C64" s="7" t="s">
        <v>47</v>
      </c>
      <c r="D64" s="7" t="s">
        <v>48</v>
      </c>
      <c r="E64" s="7" t="s">
        <v>40</v>
      </c>
      <c r="F64" s="7" t="s">
        <v>154</v>
      </c>
      <c r="G64" s="7">
        <v>2017</v>
      </c>
      <c r="H64" s="7" t="str">
        <f>CONCATENATE("14270287155")</f>
        <v>14270287155</v>
      </c>
      <c r="I64" s="7" t="s">
        <v>29</v>
      </c>
      <c r="J64" s="7" t="s">
        <v>30</v>
      </c>
      <c r="K64" s="7" t="str">
        <f>CONCATENATE("")</f>
        <v/>
      </c>
      <c r="L64" s="7" t="str">
        <f>CONCATENATE("4 4.1 2a")</f>
        <v>4 4.1 2a</v>
      </c>
      <c r="M64" s="7" t="str">
        <f>CONCATENATE("SLVPLG97M05H769M")</f>
        <v>SLVPLG97M05H769M</v>
      </c>
      <c r="N64" s="7" t="s">
        <v>155</v>
      </c>
      <c r="O64" s="7" t="s">
        <v>156</v>
      </c>
      <c r="P64" s="8">
        <v>44495</v>
      </c>
      <c r="Q64" s="7" t="s">
        <v>31</v>
      </c>
      <c r="R64" s="7" t="s">
        <v>32</v>
      </c>
      <c r="S64" s="7" t="s">
        <v>33</v>
      </c>
      <c r="T64" s="7"/>
      <c r="U64" s="7" t="s">
        <v>34</v>
      </c>
      <c r="V64" s="9">
        <v>25349.81</v>
      </c>
      <c r="W64" s="9">
        <v>10930.84</v>
      </c>
      <c r="X64" s="9">
        <v>10094.290000000001</v>
      </c>
      <c r="Y64" s="7">
        <v>0</v>
      </c>
      <c r="Z64" s="9">
        <v>4324.68</v>
      </c>
    </row>
    <row r="65" spans="1:26" x14ac:dyDescent="0.35">
      <c r="A65" s="7" t="s">
        <v>27</v>
      </c>
      <c r="B65" s="7" t="s">
        <v>28</v>
      </c>
      <c r="C65" s="7" t="s">
        <v>47</v>
      </c>
      <c r="D65" s="7" t="s">
        <v>89</v>
      </c>
      <c r="E65" s="7" t="s">
        <v>37</v>
      </c>
      <c r="F65" s="7" t="s">
        <v>37</v>
      </c>
      <c r="G65" s="7">
        <v>2017</v>
      </c>
      <c r="H65" s="7" t="str">
        <f>CONCATENATE("14270287148")</f>
        <v>14270287148</v>
      </c>
      <c r="I65" s="7" t="s">
        <v>29</v>
      </c>
      <c r="J65" s="7" t="s">
        <v>30</v>
      </c>
      <c r="K65" s="7" t="str">
        <f>CONCATENATE("")</f>
        <v/>
      </c>
      <c r="L65" s="7" t="str">
        <f>CONCATENATE("4 4.1 2a")</f>
        <v>4 4.1 2a</v>
      </c>
      <c r="M65" s="7" t="str">
        <f>CONCATENATE("01977030434")</f>
        <v>01977030434</v>
      </c>
      <c r="N65" s="7" t="s">
        <v>157</v>
      </c>
      <c r="O65" s="7" t="s">
        <v>156</v>
      </c>
      <c r="P65" s="8">
        <v>44495</v>
      </c>
      <c r="Q65" s="7" t="s">
        <v>31</v>
      </c>
      <c r="R65" s="7" t="s">
        <v>32</v>
      </c>
      <c r="S65" s="7" t="s">
        <v>33</v>
      </c>
      <c r="T65" s="7"/>
      <c r="U65" s="7" t="s">
        <v>34</v>
      </c>
      <c r="V65" s="9">
        <v>150010</v>
      </c>
      <c r="W65" s="9">
        <v>64684.31</v>
      </c>
      <c r="X65" s="9">
        <v>59733.98</v>
      </c>
      <c r="Y65" s="7">
        <v>0</v>
      </c>
      <c r="Z65" s="9">
        <v>25591.71</v>
      </c>
    </row>
    <row r="66" spans="1:26" x14ac:dyDescent="0.35">
      <c r="A66" s="7" t="s">
        <v>27</v>
      </c>
      <c r="B66" s="7" t="s">
        <v>28</v>
      </c>
      <c r="C66" s="7" t="s">
        <v>47</v>
      </c>
      <c r="D66" s="7" t="s">
        <v>89</v>
      </c>
      <c r="E66" s="7" t="s">
        <v>37</v>
      </c>
      <c r="F66" s="7" t="s">
        <v>37</v>
      </c>
      <c r="G66" s="7">
        <v>2017</v>
      </c>
      <c r="H66" s="7" t="str">
        <f>CONCATENATE("14270287114")</f>
        <v>14270287114</v>
      </c>
      <c r="I66" s="7" t="s">
        <v>29</v>
      </c>
      <c r="J66" s="7" t="s">
        <v>30</v>
      </c>
      <c r="K66" s="7" t="str">
        <f>CONCATENATE("")</f>
        <v/>
      </c>
      <c r="L66" s="7" t="str">
        <f>CONCATENATE("6 6.1 2b")</f>
        <v>6 6.1 2b</v>
      </c>
      <c r="M66" s="7" t="str">
        <f>CONCATENATE("BRRGRG94A28I156Q")</f>
        <v>BRRGRG94A28I156Q</v>
      </c>
      <c r="N66" s="7" t="s">
        <v>141</v>
      </c>
      <c r="O66" s="7" t="s">
        <v>158</v>
      </c>
      <c r="P66" s="8">
        <v>44495</v>
      </c>
      <c r="Q66" s="7" t="s">
        <v>31</v>
      </c>
      <c r="R66" s="7" t="s">
        <v>32</v>
      </c>
      <c r="S66" s="7" t="s">
        <v>33</v>
      </c>
      <c r="T66" s="7"/>
      <c r="U66" s="7" t="s">
        <v>34</v>
      </c>
      <c r="V66" s="9">
        <v>20370</v>
      </c>
      <c r="W66" s="9">
        <v>8783.5400000000009</v>
      </c>
      <c r="X66" s="9">
        <v>8111.33</v>
      </c>
      <c r="Y66" s="7">
        <v>0</v>
      </c>
      <c r="Z66" s="9">
        <v>3475.13</v>
      </c>
    </row>
    <row r="67" spans="1:26" x14ac:dyDescent="0.35">
      <c r="A67" s="7" t="s">
        <v>27</v>
      </c>
      <c r="B67" s="7" t="s">
        <v>28</v>
      </c>
      <c r="C67" s="7" t="s">
        <v>47</v>
      </c>
      <c r="D67" s="7" t="s">
        <v>47</v>
      </c>
      <c r="E67" s="7" t="s">
        <v>37</v>
      </c>
      <c r="F67" s="7" t="s">
        <v>37</v>
      </c>
      <c r="G67" s="7">
        <v>2017</v>
      </c>
      <c r="H67" s="7" t="str">
        <f>CONCATENATE("14270283873")</f>
        <v>14270283873</v>
      </c>
      <c r="I67" s="7" t="s">
        <v>29</v>
      </c>
      <c r="J67" s="7" t="s">
        <v>30</v>
      </c>
      <c r="K67" s="7" t="str">
        <f>CONCATENATE("")</f>
        <v/>
      </c>
      <c r="L67" s="7" t="str">
        <f>CONCATENATE("19 19.2 6b")</f>
        <v>19 19.2 6b</v>
      </c>
      <c r="M67" s="7" t="str">
        <f>CONCATENATE("02813220429")</f>
        <v>02813220429</v>
      </c>
      <c r="N67" s="7" t="s">
        <v>159</v>
      </c>
      <c r="O67" s="7" t="s">
        <v>160</v>
      </c>
      <c r="P67" s="8">
        <v>44490</v>
      </c>
      <c r="Q67" s="7" t="s">
        <v>31</v>
      </c>
      <c r="R67" s="7" t="s">
        <v>32</v>
      </c>
      <c r="S67" s="7" t="s">
        <v>33</v>
      </c>
      <c r="T67" s="7"/>
      <c r="U67" s="7" t="s">
        <v>34</v>
      </c>
      <c r="V67" s="9">
        <v>20000</v>
      </c>
      <c r="W67" s="9">
        <v>8624</v>
      </c>
      <c r="X67" s="9">
        <v>7964</v>
      </c>
      <c r="Y67" s="7">
        <v>0</v>
      </c>
      <c r="Z67" s="9">
        <v>3412</v>
      </c>
    </row>
    <row r="68" spans="1:26" x14ac:dyDescent="0.35">
      <c r="A68" s="7" t="s">
        <v>27</v>
      </c>
      <c r="B68" s="7" t="s">
        <v>28</v>
      </c>
      <c r="C68" s="7" t="s">
        <v>47</v>
      </c>
      <c r="D68" s="7" t="s">
        <v>47</v>
      </c>
      <c r="E68" s="7" t="s">
        <v>37</v>
      </c>
      <c r="F68" s="7" t="s">
        <v>37</v>
      </c>
      <c r="G68" s="7">
        <v>2017</v>
      </c>
      <c r="H68" s="7" t="str">
        <f>CONCATENATE("14270283857")</f>
        <v>14270283857</v>
      </c>
      <c r="I68" s="7" t="s">
        <v>29</v>
      </c>
      <c r="J68" s="7" t="s">
        <v>30</v>
      </c>
      <c r="K68" s="7" t="str">
        <f>CONCATENATE("")</f>
        <v/>
      </c>
      <c r="L68" s="7" t="str">
        <f>CONCATENATE("19 19.2 6b")</f>
        <v>19 19.2 6b</v>
      </c>
      <c r="M68" s="7" t="str">
        <f>CONCATENATE("PMBCST69C60E388S")</f>
        <v>PMBCST69C60E388S</v>
      </c>
      <c r="N68" s="7" t="s">
        <v>161</v>
      </c>
      <c r="O68" s="7" t="s">
        <v>160</v>
      </c>
      <c r="P68" s="8">
        <v>44490</v>
      </c>
      <c r="Q68" s="7" t="s">
        <v>31</v>
      </c>
      <c r="R68" s="7" t="s">
        <v>32</v>
      </c>
      <c r="S68" s="7" t="s">
        <v>33</v>
      </c>
      <c r="T68" s="7"/>
      <c r="U68" s="7" t="s">
        <v>34</v>
      </c>
      <c r="V68" s="9">
        <v>20000</v>
      </c>
      <c r="W68" s="9">
        <v>8624</v>
      </c>
      <c r="X68" s="9">
        <v>7964</v>
      </c>
      <c r="Y68" s="7">
        <v>0</v>
      </c>
      <c r="Z68" s="9">
        <v>3412</v>
      </c>
    </row>
    <row r="69" spans="1:26" x14ac:dyDescent="0.35">
      <c r="A69" s="7" t="s">
        <v>27</v>
      </c>
      <c r="B69" s="7" t="s">
        <v>28</v>
      </c>
      <c r="C69" s="7" t="s">
        <v>47</v>
      </c>
      <c r="D69" s="7" t="s">
        <v>47</v>
      </c>
      <c r="E69" s="7" t="s">
        <v>37</v>
      </c>
      <c r="F69" s="7" t="s">
        <v>37</v>
      </c>
      <c r="G69" s="7">
        <v>2017</v>
      </c>
      <c r="H69" s="7" t="str">
        <f>CONCATENATE("14270283865")</f>
        <v>14270283865</v>
      </c>
      <c r="I69" s="7" t="s">
        <v>29</v>
      </c>
      <c r="J69" s="7" t="s">
        <v>30</v>
      </c>
      <c r="K69" s="7" t="str">
        <f>CONCATENATE("")</f>
        <v/>
      </c>
      <c r="L69" s="7" t="str">
        <f>CONCATENATE("19 19.2 6b")</f>
        <v>19 19.2 6b</v>
      </c>
      <c r="M69" s="7" t="str">
        <f>CONCATENATE("02808490425")</f>
        <v>02808490425</v>
      </c>
      <c r="N69" s="7" t="s">
        <v>162</v>
      </c>
      <c r="O69" s="7" t="s">
        <v>160</v>
      </c>
      <c r="P69" s="8">
        <v>44490</v>
      </c>
      <c r="Q69" s="7" t="s">
        <v>31</v>
      </c>
      <c r="R69" s="7" t="s">
        <v>32</v>
      </c>
      <c r="S69" s="7" t="s">
        <v>33</v>
      </c>
      <c r="T69" s="7"/>
      <c r="U69" s="7" t="s">
        <v>34</v>
      </c>
      <c r="V69" s="9">
        <v>25000</v>
      </c>
      <c r="W69" s="9">
        <v>10780</v>
      </c>
      <c r="X69" s="9">
        <v>9955</v>
      </c>
      <c r="Y69" s="7">
        <v>0</v>
      </c>
      <c r="Z69" s="9">
        <v>4265</v>
      </c>
    </row>
    <row r="70" spans="1:26" x14ac:dyDescent="0.35">
      <c r="A70" s="7" t="s">
        <v>27</v>
      </c>
      <c r="B70" s="7" t="s">
        <v>28</v>
      </c>
      <c r="C70" s="7" t="s">
        <v>47</v>
      </c>
      <c r="D70" s="7" t="s">
        <v>48</v>
      </c>
      <c r="E70" s="7" t="s">
        <v>37</v>
      </c>
      <c r="F70" s="7" t="s">
        <v>37</v>
      </c>
      <c r="G70" s="7">
        <v>2017</v>
      </c>
      <c r="H70" s="7" t="str">
        <f>CONCATENATE("14270284152")</f>
        <v>14270284152</v>
      </c>
      <c r="I70" s="7" t="s">
        <v>29</v>
      </c>
      <c r="J70" s="7" t="s">
        <v>30</v>
      </c>
      <c r="K70" s="7" t="str">
        <f>CONCATENATE("")</f>
        <v/>
      </c>
      <c r="L70" s="7" t="str">
        <f>CONCATENATE("6 6.4 2a")</f>
        <v>6 6.4 2a</v>
      </c>
      <c r="M70" s="7" t="str">
        <f>CONCATENATE("VLLMRA79E11F520Y")</f>
        <v>VLLMRA79E11F520Y</v>
      </c>
      <c r="N70" s="7" t="s">
        <v>49</v>
      </c>
      <c r="O70" s="7" t="s">
        <v>163</v>
      </c>
      <c r="P70" s="8">
        <v>44490</v>
      </c>
      <c r="Q70" s="7" t="s">
        <v>31</v>
      </c>
      <c r="R70" s="7" t="s">
        <v>32</v>
      </c>
      <c r="S70" s="7" t="s">
        <v>33</v>
      </c>
      <c r="T70" s="7"/>
      <c r="U70" s="7" t="s">
        <v>34</v>
      </c>
      <c r="V70" s="9">
        <v>200000</v>
      </c>
      <c r="W70" s="9">
        <v>86240</v>
      </c>
      <c r="X70" s="9">
        <v>79640</v>
      </c>
      <c r="Y70" s="7">
        <v>0</v>
      </c>
      <c r="Z70" s="9">
        <v>34120</v>
      </c>
    </row>
    <row r="71" spans="1:26" x14ac:dyDescent="0.35">
      <c r="A71" s="7" t="s">
        <v>27</v>
      </c>
      <c r="B71" s="7" t="s">
        <v>28</v>
      </c>
      <c r="C71" s="7" t="s">
        <v>47</v>
      </c>
      <c r="D71" s="7" t="s">
        <v>47</v>
      </c>
      <c r="E71" s="7" t="s">
        <v>37</v>
      </c>
      <c r="F71" s="7" t="s">
        <v>37</v>
      </c>
      <c r="G71" s="7">
        <v>2017</v>
      </c>
      <c r="H71" s="7" t="str">
        <f>CONCATENATE("14270283816")</f>
        <v>14270283816</v>
      </c>
      <c r="I71" s="7" t="s">
        <v>44</v>
      </c>
      <c r="J71" s="7" t="s">
        <v>30</v>
      </c>
      <c r="K71" s="7" t="str">
        <f>CONCATENATE("")</f>
        <v/>
      </c>
      <c r="L71" s="7" t="str">
        <f>CONCATENATE("19 19.2 6b")</f>
        <v>19 19.2 6b</v>
      </c>
      <c r="M71" s="7" t="str">
        <f>CONCATENATE("80000970444")</f>
        <v>80000970444</v>
      </c>
      <c r="N71" s="7" t="s">
        <v>164</v>
      </c>
      <c r="O71" s="7" t="s">
        <v>165</v>
      </c>
      <c r="P71" s="8">
        <v>44490</v>
      </c>
      <c r="Q71" s="7" t="s">
        <v>31</v>
      </c>
      <c r="R71" s="7" t="s">
        <v>39</v>
      </c>
      <c r="S71" s="7" t="s">
        <v>33</v>
      </c>
      <c r="T71" s="7"/>
      <c r="U71" s="7" t="s">
        <v>34</v>
      </c>
      <c r="V71" s="9">
        <v>14994.4</v>
      </c>
      <c r="W71" s="9">
        <v>6465.59</v>
      </c>
      <c r="X71" s="9">
        <v>5970.77</v>
      </c>
      <c r="Y71" s="7">
        <v>0</v>
      </c>
      <c r="Z71" s="9">
        <v>2558.04</v>
      </c>
    </row>
    <row r="72" spans="1:26" x14ac:dyDescent="0.35">
      <c r="A72" s="7" t="s">
        <v>27</v>
      </c>
      <c r="B72" s="7" t="s">
        <v>28</v>
      </c>
      <c r="C72" s="7" t="s">
        <v>47</v>
      </c>
      <c r="D72" s="7" t="s">
        <v>47</v>
      </c>
      <c r="E72" s="7" t="s">
        <v>37</v>
      </c>
      <c r="F72" s="7" t="s">
        <v>37</v>
      </c>
      <c r="G72" s="7">
        <v>2017</v>
      </c>
      <c r="H72" s="7" t="str">
        <f>CONCATENATE("14270284129")</f>
        <v>14270284129</v>
      </c>
      <c r="I72" s="7" t="s">
        <v>29</v>
      </c>
      <c r="J72" s="7" t="s">
        <v>30</v>
      </c>
      <c r="K72" s="7" t="str">
        <f>CONCATENATE("")</f>
        <v/>
      </c>
      <c r="L72" s="7" t="str">
        <f>CONCATENATE("19 19.2 6b")</f>
        <v>19 19.2 6b</v>
      </c>
      <c r="M72" s="7" t="str">
        <f>CONCATENATE("00268590437")</f>
        <v>00268590437</v>
      </c>
      <c r="N72" s="7" t="s">
        <v>166</v>
      </c>
      <c r="O72" s="7" t="s">
        <v>167</v>
      </c>
      <c r="P72" s="8">
        <v>44490</v>
      </c>
      <c r="Q72" s="7" t="s">
        <v>31</v>
      </c>
      <c r="R72" s="7" t="s">
        <v>38</v>
      </c>
      <c r="S72" s="7" t="s">
        <v>33</v>
      </c>
      <c r="T72" s="7"/>
      <c r="U72" s="7" t="s">
        <v>34</v>
      </c>
      <c r="V72" s="9">
        <v>41085.410000000003</v>
      </c>
      <c r="W72" s="9">
        <v>17716.03</v>
      </c>
      <c r="X72" s="9">
        <v>16360.21</v>
      </c>
      <c r="Y72" s="7">
        <v>0</v>
      </c>
      <c r="Z72" s="9">
        <v>7009.17</v>
      </c>
    </row>
    <row r="73" spans="1:26" x14ac:dyDescent="0.35">
      <c r="A73" s="7" t="s">
        <v>27</v>
      </c>
      <c r="B73" s="7" t="s">
        <v>28</v>
      </c>
      <c r="C73" s="7" t="s">
        <v>47</v>
      </c>
      <c r="D73" s="7" t="s">
        <v>48</v>
      </c>
      <c r="E73" s="7" t="s">
        <v>37</v>
      </c>
      <c r="F73" s="7" t="s">
        <v>37</v>
      </c>
      <c r="G73" s="7">
        <v>2017</v>
      </c>
      <c r="H73" s="7" t="str">
        <f>CONCATENATE("04270232749")</f>
        <v>04270232749</v>
      </c>
      <c r="I73" s="7" t="s">
        <v>29</v>
      </c>
      <c r="J73" s="7" t="s">
        <v>30</v>
      </c>
      <c r="K73" s="7" t="str">
        <f>CONCATENATE("")</f>
        <v/>
      </c>
      <c r="L73" s="7" t="str">
        <f>CONCATENATE("16 16.5 4c")</f>
        <v>16 16.5 4c</v>
      </c>
      <c r="M73" s="7" t="str">
        <f>CONCATENATE("81000890442")</f>
        <v>81000890442</v>
      </c>
      <c r="N73" s="7" t="s">
        <v>168</v>
      </c>
      <c r="O73" s="7" t="s">
        <v>169</v>
      </c>
      <c r="P73" s="8">
        <v>44495</v>
      </c>
      <c r="Q73" s="7" t="s">
        <v>31</v>
      </c>
      <c r="R73" s="7" t="s">
        <v>39</v>
      </c>
      <c r="S73" s="7" t="s">
        <v>33</v>
      </c>
      <c r="T73" s="7"/>
      <c r="U73" s="7" t="s">
        <v>34</v>
      </c>
      <c r="V73" s="9">
        <v>18460.3</v>
      </c>
      <c r="W73" s="9">
        <v>7960.08</v>
      </c>
      <c r="X73" s="9">
        <v>7350.89</v>
      </c>
      <c r="Y73" s="7">
        <v>0</v>
      </c>
      <c r="Z73" s="9">
        <v>3149.33</v>
      </c>
    </row>
    <row r="74" spans="1:26" x14ac:dyDescent="0.35">
      <c r="A74" s="7" t="s">
        <v>27</v>
      </c>
      <c r="B74" s="7" t="s">
        <v>28</v>
      </c>
      <c r="C74" s="7" t="s">
        <v>47</v>
      </c>
      <c r="D74" s="7" t="s">
        <v>102</v>
      </c>
      <c r="E74" s="7" t="s">
        <v>36</v>
      </c>
      <c r="F74" s="7" t="s">
        <v>170</v>
      </c>
      <c r="G74" s="7">
        <v>2017</v>
      </c>
      <c r="H74" s="7" t="str">
        <f>CONCATENATE("14270283667")</f>
        <v>14270283667</v>
      </c>
      <c r="I74" s="7" t="s">
        <v>29</v>
      </c>
      <c r="J74" s="7" t="s">
        <v>30</v>
      </c>
      <c r="K74" s="7" t="str">
        <f>CONCATENATE("")</f>
        <v/>
      </c>
      <c r="L74" s="7" t="str">
        <f>CONCATENATE("21 21.1 2a")</f>
        <v>21 21.1 2a</v>
      </c>
      <c r="M74" s="7" t="str">
        <f>CONCATENATE("01388000414")</f>
        <v>01388000414</v>
      </c>
      <c r="N74" s="7" t="s">
        <v>171</v>
      </c>
      <c r="O74" s="7" t="s">
        <v>172</v>
      </c>
      <c r="P74" s="8">
        <v>44489</v>
      </c>
      <c r="Q74" s="7" t="s">
        <v>31</v>
      </c>
      <c r="R74" s="7" t="s">
        <v>32</v>
      </c>
      <c r="S74" s="7" t="s">
        <v>33</v>
      </c>
      <c r="T74" s="7"/>
      <c r="U74" s="7" t="s">
        <v>34</v>
      </c>
      <c r="V74" s="9">
        <v>7000</v>
      </c>
      <c r="W74" s="9">
        <v>3018.4</v>
      </c>
      <c r="X74" s="9">
        <v>2787.4</v>
      </c>
      <c r="Y74" s="7">
        <v>0</v>
      </c>
      <c r="Z74" s="9">
        <v>1194.2</v>
      </c>
    </row>
    <row r="75" spans="1:26" x14ac:dyDescent="0.35">
      <c r="A75" s="7" t="s">
        <v>27</v>
      </c>
      <c r="B75" s="7" t="s">
        <v>28</v>
      </c>
      <c r="C75" s="7" t="s">
        <v>47</v>
      </c>
      <c r="D75" s="7" t="s">
        <v>47</v>
      </c>
      <c r="E75" s="7" t="s">
        <v>37</v>
      </c>
      <c r="F75" s="7" t="s">
        <v>37</v>
      </c>
      <c r="G75" s="7">
        <v>2017</v>
      </c>
      <c r="H75" s="7" t="str">
        <f>CONCATENATE("14270265557")</f>
        <v>14270265557</v>
      </c>
      <c r="I75" s="7" t="s">
        <v>29</v>
      </c>
      <c r="J75" s="7" t="s">
        <v>30</v>
      </c>
      <c r="K75" s="7" t="str">
        <f>CONCATENATE("")</f>
        <v/>
      </c>
      <c r="L75" s="7" t="str">
        <f>CONCATENATE("19 19.2 6b")</f>
        <v>19 19.2 6b</v>
      </c>
      <c r="M75" s="7" t="str">
        <f>CONCATENATE("02035420435")</f>
        <v>02035420435</v>
      </c>
      <c r="N75" s="7" t="s">
        <v>173</v>
      </c>
      <c r="O75" s="7" t="s">
        <v>174</v>
      </c>
      <c r="P75" s="8">
        <v>44474</v>
      </c>
      <c r="Q75" s="7" t="s">
        <v>31</v>
      </c>
      <c r="R75" s="7" t="s">
        <v>39</v>
      </c>
      <c r="S75" s="7" t="s">
        <v>33</v>
      </c>
      <c r="T75" s="7"/>
      <c r="U75" s="7" t="s">
        <v>34</v>
      </c>
      <c r="V75" s="9">
        <v>15000</v>
      </c>
      <c r="W75" s="9">
        <v>6468</v>
      </c>
      <c r="X75" s="9">
        <v>5973</v>
      </c>
      <c r="Y75" s="7">
        <v>0</v>
      </c>
      <c r="Z75" s="9">
        <v>2559</v>
      </c>
    </row>
    <row r="76" spans="1:26" x14ac:dyDescent="0.35">
      <c r="A76" s="7" t="s">
        <v>27</v>
      </c>
      <c r="B76" s="7" t="s">
        <v>28</v>
      </c>
      <c r="C76" s="7" t="s">
        <v>47</v>
      </c>
      <c r="D76" s="7" t="s">
        <v>47</v>
      </c>
      <c r="E76" s="7" t="s">
        <v>37</v>
      </c>
      <c r="F76" s="7" t="s">
        <v>37</v>
      </c>
      <c r="G76" s="7">
        <v>2017</v>
      </c>
      <c r="H76" s="7" t="str">
        <f>CONCATENATE("14270265540")</f>
        <v>14270265540</v>
      </c>
      <c r="I76" s="7" t="s">
        <v>29</v>
      </c>
      <c r="J76" s="7" t="s">
        <v>30</v>
      </c>
      <c r="K76" s="7" t="str">
        <f>CONCATENATE("")</f>
        <v/>
      </c>
      <c r="L76" s="7" t="str">
        <f>CONCATENATE("19 19.2 6b")</f>
        <v>19 19.2 6b</v>
      </c>
      <c r="M76" s="7" t="str">
        <f>CONCATENATE("02035970439")</f>
        <v>02035970439</v>
      </c>
      <c r="N76" s="7" t="s">
        <v>175</v>
      </c>
      <c r="O76" s="7" t="s">
        <v>174</v>
      </c>
      <c r="P76" s="8">
        <v>44474</v>
      </c>
      <c r="Q76" s="7" t="s">
        <v>31</v>
      </c>
      <c r="R76" s="7" t="s">
        <v>39</v>
      </c>
      <c r="S76" s="7" t="s">
        <v>33</v>
      </c>
      <c r="T76" s="7"/>
      <c r="U76" s="7" t="s">
        <v>34</v>
      </c>
      <c r="V76" s="9">
        <v>15000</v>
      </c>
      <c r="W76" s="9">
        <v>6468</v>
      </c>
      <c r="X76" s="9">
        <v>5973</v>
      </c>
      <c r="Y76" s="7">
        <v>0</v>
      </c>
      <c r="Z76" s="9">
        <v>2559</v>
      </c>
    </row>
    <row r="77" spans="1:26" x14ac:dyDescent="0.35">
      <c r="A77" s="7" t="s">
        <v>27</v>
      </c>
      <c r="B77" s="7" t="s">
        <v>28</v>
      </c>
      <c r="C77" s="7" t="s">
        <v>47</v>
      </c>
      <c r="D77" s="7" t="s">
        <v>89</v>
      </c>
      <c r="E77" s="7" t="s">
        <v>37</v>
      </c>
      <c r="F77" s="7" t="s">
        <v>37</v>
      </c>
      <c r="G77" s="7">
        <v>2017</v>
      </c>
      <c r="H77" s="7" t="str">
        <f>CONCATENATE("14270287056")</f>
        <v>14270287056</v>
      </c>
      <c r="I77" s="7" t="s">
        <v>29</v>
      </c>
      <c r="J77" s="7" t="s">
        <v>30</v>
      </c>
      <c r="K77" s="7" t="str">
        <f>CONCATENATE("")</f>
        <v/>
      </c>
      <c r="L77" s="7" t="str">
        <f>CONCATENATE("6 6.1 2b")</f>
        <v>6 6.1 2b</v>
      </c>
      <c r="M77" s="7" t="str">
        <f>CONCATENATE("PRGSFN92T03E783D")</f>
        <v>PRGSFN92T03E783D</v>
      </c>
      <c r="N77" s="7" t="s">
        <v>139</v>
      </c>
      <c r="O77" s="7" t="s">
        <v>176</v>
      </c>
      <c r="P77" s="8">
        <v>44494</v>
      </c>
      <c r="Q77" s="7" t="s">
        <v>31</v>
      </c>
      <c r="R77" s="7" t="s">
        <v>32</v>
      </c>
      <c r="S77" s="7" t="s">
        <v>33</v>
      </c>
      <c r="T77" s="7"/>
      <c r="U77" s="7" t="s">
        <v>34</v>
      </c>
      <c r="V77" s="9">
        <v>21000</v>
      </c>
      <c r="W77" s="9">
        <v>9055.2000000000007</v>
      </c>
      <c r="X77" s="9">
        <v>8362.2000000000007</v>
      </c>
      <c r="Y77" s="7">
        <v>0</v>
      </c>
      <c r="Z77" s="9">
        <v>3582.6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26111</vt:lpwstr>
  </property>
  <property fmtid="{D5CDD505-2E9C-101B-9397-08002B2CF9AE}" pid="4" name="OptimizationTime">
    <vt:lpwstr>20211109_1111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2021-11-08T16:29:59Z</dcterms:created>
  <dcterms:modified xsi:type="dcterms:W3CDTF">2021-11-08T16:30:57Z</dcterms:modified>
</cp:coreProperties>
</file>