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91/"/>
    </mc:Choice>
  </mc:AlternateContent>
  <xr:revisionPtr revIDLastSave="0" documentId="8_{DEB15E07-7060-43E3-9BB8-B4EA7CCCA2C2}" xr6:coauthVersionLast="46" xr6:coauthVersionMax="46" xr10:uidLastSave="{00000000-0000-0000-0000-000000000000}"/>
  <bookViews>
    <workbookView xWindow="-110" yWindow="-110" windowWidth="19420" windowHeight="10420" xr2:uid="{69DF4E38-E537-4899-BB80-F41BB07D4A3E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1" l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<sst xmlns="http://schemas.openxmlformats.org/spreadsheetml/2006/main" count="1147" uniqueCount="134">
  <si>
    <t>Dettaglio Domande Pagabili Decreto 491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</si>
  <si>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</si>
  <si>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</si>
  <si>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</si>
  <si>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</si>
  <si>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</si>
  <si>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</si>
  <si>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</si>
  <si>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</si>
  <si>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</si>
  <si>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</si>
  <si>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</si>
  <si>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</si>
  <si>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</si>
  <si>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</si>
  <si>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</si>
  <si>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</si>
  <si>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</si>
  <si>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</si>
  <si>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</si>
  <si>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</si>
  <si>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</si>
  <si>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</si>
  <si>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</si>
  <si>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</si>
  <si>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</si>
  <si>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</si>
  <si>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</si>
  <si>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</si>
  <si>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</si>
  <si>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</si>
  <si>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</si>
  <si>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</si>
  <si>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</si>
  <si>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</si>
  <si>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Ordinario</t>
  </si>
  <si>
    <t>CAA UNICAA srl</t>
  </si>
  <si>
    <t>CAA CIA srl</t>
  </si>
  <si>
    <t>CAA Coldiretti srl</t>
  </si>
  <si>
    <t>SI</t>
  </si>
  <si>
    <t>SAL</t>
  </si>
  <si>
    <t>Misure a Superficie</t>
  </si>
  <si>
    <t>Anticipo</t>
  </si>
  <si>
    <t>MARCHE</t>
  </si>
  <si>
    <t>FAVA MARIA ANGELA</t>
  </si>
  <si>
    <t>AGEA.ASR.2021.1204302</t>
  </si>
  <si>
    <t>GAVIOLI TEODORA</t>
  </si>
  <si>
    <t>AGEA.ASR.2021.1060875</t>
  </si>
  <si>
    <t>SERV. DEC. AGRICOLTURA E ALIM. - MACERATA</t>
  </si>
  <si>
    <t>CAA CIA - ANCONA - 006</t>
  </si>
  <si>
    <t>ALBERTI MATTEO</t>
  </si>
  <si>
    <t>AGEA.ASR.2021.1141635</t>
  </si>
  <si>
    <t>COMUNE DI SERVIGLIANO</t>
  </si>
  <si>
    <t>AGEA.ASR.2021.1170513</t>
  </si>
  <si>
    <t>COMUNE DI BORGO PACE</t>
  </si>
  <si>
    <t>AGEA.ASR.2021.1185196</t>
  </si>
  <si>
    <t>COMUNE DI FRONTINO</t>
  </si>
  <si>
    <t>COMUNE DI LUNANO</t>
  </si>
  <si>
    <t>COMUNE DI BELFORTE DEL CHIENTI</t>
  </si>
  <si>
    <t>AGEA.ASR.2021.1185257</t>
  </si>
  <si>
    <t>COMUNE DI POLLENZA</t>
  </si>
  <si>
    <t>AGEA.ASR.2021.1203682</t>
  </si>
  <si>
    <t>UNIONE MONTANA DEI MONTI AZZURRI</t>
  </si>
  <si>
    <t>AGEA.ASR.2021.1204599</t>
  </si>
  <si>
    <t>COMUNE DI SAN GINESIO</t>
  </si>
  <si>
    <t>AGEA.ASR.2021.1205149</t>
  </si>
  <si>
    <t>COMUNE DI BOLOGNOLA</t>
  </si>
  <si>
    <t>SERV. DEC. AGRICOLTURA E ALIMENTAZIONE - ANCONA</t>
  </si>
  <si>
    <t>UNIONE DEI COMUNI DELLA MEDIA VALLE ESINA</t>
  </si>
  <si>
    <t>AGEA.ASR.2021.1087613</t>
  </si>
  <si>
    <t>CAA Coldiretti - MACERATA - 017</t>
  </si>
  <si>
    <t>ANGELI GIOVANNI</t>
  </si>
  <si>
    <t>AGEA.ASR.2021.1114444</t>
  </si>
  <si>
    <t>SERV. DEC. AGRICOLTURA E ALIM. -ASCOLI PICENO</t>
  </si>
  <si>
    <t>IMPRESA VERDE MARCHE SRL</t>
  </si>
  <si>
    <t>AGEA.ASR.2021.1154823</t>
  </si>
  <si>
    <t>CAA UNICAA - ASCOLI PICENO - 004</t>
  </si>
  <si>
    <t>SOCIETA' AGRICOLA CIU' CIU' DI BARTOLOMEI MASSIMILIANO E BARTOLOMEI WA</t>
  </si>
  <si>
    <t>AGEA.ASR.2021.1118916</t>
  </si>
  <si>
    <t>COMUNE DI SEFRO</t>
  </si>
  <si>
    <t>AGEA.ASR.2021.1170471</t>
  </si>
  <si>
    <t>AGEA.ASR.2021.1203654</t>
  </si>
  <si>
    <t>PICENO SCARL</t>
  </si>
  <si>
    <t>AGEA.ASR.2021.1204576</t>
  </si>
  <si>
    <t>AGEA.ASR.2021.1184078</t>
  </si>
  <si>
    <t>AGEA.ASR.2021.1185200</t>
  </si>
  <si>
    <t>AGEA.ASR.2021.1154822</t>
  </si>
  <si>
    <t>CAA CIA - ANCONA - 002</t>
  </si>
  <si>
    <t>MAITOUR S.R.L.</t>
  </si>
  <si>
    <t>AGEA.ASR.2021.1060881</t>
  </si>
  <si>
    <t>COMUNE DI FIASTRA</t>
  </si>
  <si>
    <t>SERV. DEC. AGRICOLTURA E ALIMENTAZIONE - PESARO</t>
  </si>
  <si>
    <t>AGEA.ASR.2021.1184056</t>
  </si>
  <si>
    <t>AGEA.ASR.2021.1185234</t>
  </si>
  <si>
    <t>COMUNE DI SERRAPETRONA</t>
  </si>
  <si>
    <t>AGEA.ASR.2021.1203722</t>
  </si>
  <si>
    <t>COMUNE DI CAGLI</t>
  </si>
  <si>
    <t>COMUNE DI URBANIA</t>
  </si>
  <si>
    <t>DE ANGELIS PAOLO</t>
  </si>
  <si>
    <t>AGEA.ASR.2021.1205291</t>
  </si>
  <si>
    <t>CAA CIA - PESARO E URBINO - 006</t>
  </si>
  <si>
    <t>FILIPPETTI CLAUDIO</t>
  </si>
  <si>
    <t>FILIPPETTI FRANCESCO</t>
  </si>
  <si>
    <t>CAA CIA - MACERATA - 001</t>
  </si>
  <si>
    <t>GALLERINI ANNA PAOLA</t>
  </si>
  <si>
    <t>CAA Coldiretti - MACERATA - 007</t>
  </si>
  <si>
    <t>LA QUERCIA DELLA MEMORIA DI DI LUCA F. &amp; C. SOC. AGR. SEMPL.</t>
  </si>
  <si>
    <t>CAA Coldiretti - PESARO E URBINO - 006</t>
  </si>
  <si>
    <t>ROSSI ANNA</t>
  </si>
  <si>
    <t>CAA CIA - PESARO E URBINO - 001</t>
  </si>
  <si>
    <t>SOCIETA' AGRICOLA PIANMARZOLINO S.N.C. DI LORETTA MAGNESI &amp; C.</t>
  </si>
  <si>
    <t>TARTABINI CLAUDIO</t>
  </si>
  <si>
    <t>CAA Coldiretti - PESARO E URBINO - 008</t>
  </si>
  <si>
    <t>FALCONI MICHELE</t>
  </si>
  <si>
    <t>CAA CIA - PESARO E URBINO - 005</t>
  </si>
  <si>
    <t>PIERANGELI MARIA LAURA</t>
  </si>
  <si>
    <t>SOCIETA' AGRICOLA AZIENDA AGRITURISTICA CA' CIRIGIOLO S.S.</t>
  </si>
  <si>
    <t>AGEA.ASR.2021.1204275</t>
  </si>
  <si>
    <t>CAA Coldiretti - PESARO E URBINO - 001</t>
  </si>
  <si>
    <t>DI DOMENICO NICOLETTA</t>
  </si>
  <si>
    <t>COMUNE DI CAMPOROTONDO DI FIASTRONE</t>
  </si>
  <si>
    <t>AGEA.ASR.2021.1185331</t>
  </si>
  <si>
    <t>AGENZIA SERVIZI SETTORE AGROALIMENTARE MARCHE (ASSAM)</t>
  </si>
  <si>
    <t>AGEA.ASR.2021.1204993</t>
  </si>
  <si>
    <t>CAA Coldiretti - PESARO E URBINO - 010</t>
  </si>
  <si>
    <t>SOCIETA' AGRICOLA JOSTARIA SS</t>
  </si>
  <si>
    <t>LA FERRAIA SOCIETA' AGRICOLA IN ACCOMANDITA SEMPLICE DI BIANCONI GILFR</t>
  </si>
  <si>
    <t>FERMANO LEADER SOCIETA' CONSORTILE A RESPONSABILITA' LIMITATA</t>
  </si>
  <si>
    <t>AZIENDA AGRICOLA DI FURLANI MICHELA SAS SOCIETA' AGRICOLA</t>
  </si>
  <si>
    <t>CORRIERI PIETRO</t>
  </si>
  <si>
    <t>CAA Coldiretti - PESARO E URBINO - 013</t>
  </si>
  <si>
    <t>SOC. AGR. BUROTTA DI LAINO DALL'ACQUA FRANCESCO &amp; C. S.S.</t>
  </si>
  <si>
    <t>AGEA.ASR.2021.1158033</t>
  </si>
  <si>
    <t>GIROLOMONI GIOVANNI-BATTISTA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</si>
</sst>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C5A5-0067-4F23-A319-1E5429EF5B44}">
  <dimension ref="A1:Z83"/>
  <sheetViews>
    <sheetView showGridLines="0" tabSelected="1" workbookViewId="0">
      <selection activeCell="F87" sqref="F87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7265625" bestFit="1" customWidth="1"/>
    <col min="5" max="5" width="20.36328125" bestFit="1" customWidth="1"/>
    <col min="6" max="6" width="22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3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ht="17.5" x14ac:dyDescent="0.35">
      <c r="A4" s="7" t="s">
        <v>27</v>
      </c>
      <c r="B4" s="7" t="s">
        <v>28</v>
      </c>
      <c r="C4" s="7" t="s">
        <v>43</v>
      </c>
      <c r="D4" s="7" t="s">
        <v>43</v>
      </c>
      <c r="E4" s="7" t="s">
        <v>29</v>
      </c>
      <c r="F4" s="7" t="s">
        <v>29</v>
      </c>
      <c r="G4" s="7">
        <v>2017</v>
      </c>
      <c r="H4" s="7" t="str">
        <f>CONCATENATE("14270276935")</f>
        <v>14270276935</v>
      </c>
      <c r="I4" s="7" t="s">
        <v>30</v>
      </c>
      <c r="J4" s="7" t="s">
        <v>31</v>
      </c>
      <c r="K4" s="7" t="str">
        <f>CONCATENATE("")</f>
        <v/>
      </c>
      <c r="L4" s="7" t="str">
        <f>CONCATENATE("19 19.2 6b")</f>
        <v>19 19.2 6b</v>
      </c>
      <c r="M4" s="7" t="str">
        <f>CONCATENATE("FVAMNG87H62D488K")</f>
        <v>FVAMNG87H62D488K</v>
      </c>
      <c r="N4" s="7" t="s">
        <v>44</v>
      </c>
      <c r="O4" s="7" t="s">
        <v>45</v>
      </c>
      <c r="P4" s="8">
        <v>44489</v>
      </c>
      <c r="Q4" s="7" t="s">
        <v>32</v>
      </c>
      <c r="R4" s="7" t="s">
        <v>40</v>
      </c>
      <c r="S4" s="7" t="s">
        <v>34</v>
      </c>
      <c r="T4" s="7"/>
      <c r="U4" s="7" t="s">
        <v>35</v>
      </c>
      <c r="V4" s="9">
        <v>15000</v>
      </c>
      <c r="W4" s="9">
        <v>6468</v>
      </c>
      <c r="X4" s="9">
        <v>5973</v>
      </c>
      <c r="Y4" s="7">
        <v>0</v>
      </c>
      <c r="Z4" s="9">
        <v>2559</v>
      </c>
    </row>
    <row r="5" spans="1:26" x14ac:dyDescent="0.35">
      <c r="A5" s="7" t="s">
        <v>27</v>
      </c>
      <c r="B5" s="7" t="s">
        <v>28</v>
      </c>
      <c r="C5" s="7" t="s">
        <v>43</v>
      </c>
      <c r="D5" s="7" t="s">
        <v>43</v>
      </c>
      <c r="E5" s="7" t="s">
        <v>29</v>
      </c>
      <c r="F5" s="7" t="s">
        <v>29</v>
      </c>
      <c r="G5" s="7">
        <v>2017</v>
      </c>
      <c r="H5" s="7" t="str">
        <f>CONCATENATE("14270243257")</f>
        <v>14270243257</v>
      </c>
      <c r="I5" s="7" t="s">
        <v>30</v>
      </c>
      <c r="J5" s="7" t="s">
        <v>31</v>
      </c>
      <c r="K5" s="7" t="str">
        <f>CONCATENATE("")</f>
        <v/>
      </c>
      <c r="L5" s="7" t="str">
        <f>CONCATENATE("19 19.2 6b")</f>
        <v>19 19.2 6b</v>
      </c>
      <c r="M5" s="7" t="str">
        <f>CONCATENATE("GVLTDR88T69D451M")</f>
        <v>GVLTDR88T69D451M</v>
      </c>
      <c r="N5" s="7" t="s">
        <v>46</v>
      </c>
      <c r="O5" s="7" t="s">
        <v>47</v>
      </c>
      <c r="P5" s="8">
        <v>44483</v>
      </c>
      <c r="Q5" s="7" t="s">
        <v>32</v>
      </c>
      <c r="R5" s="7" t="s">
        <v>40</v>
      </c>
      <c r="S5" s="7" t="s">
        <v>34</v>
      </c>
      <c r="T5" s="7"/>
      <c r="U5" s="7" t="s">
        <v>35</v>
      </c>
      <c r="V5" s="9">
        <v>15000</v>
      </c>
      <c r="W5" s="9">
        <v>6468</v>
      </c>
      <c r="X5" s="9">
        <v>5973</v>
      </c>
      <c r="Y5" s="7">
        <v>0</v>
      </c>
      <c r="Z5" s="9">
        <v>2559</v>
      </c>
    </row>
    <row r="6" spans="1:26" x14ac:dyDescent="0.35">
      <c r="A6" s="7" t="s">
        <v>27</v>
      </c>
      <c r="B6" s="7" t="s">
        <v>28</v>
      </c>
      <c r="C6" s="7" t="s">
        <v>43</v>
      </c>
      <c r="D6" s="7" t="s">
        <v>48</v>
      </c>
      <c r="E6" s="7" t="s">
        <v>37</v>
      </c>
      <c r="F6" s="7" t="s">
        <v>49</v>
      </c>
      <c r="G6" s="7">
        <v>2017</v>
      </c>
      <c r="H6" s="7" t="str">
        <f>CONCATENATE("84270137601")</f>
        <v>84270137601</v>
      </c>
      <c r="I6" s="7" t="s">
        <v>30</v>
      </c>
      <c r="J6" s="7" t="s">
        <v>31</v>
      </c>
      <c r="K6" s="7" t="str">
        <f>CONCATENATE("")</f>
        <v/>
      </c>
      <c r="L6" s="7" t="str">
        <f>CONCATENATE("3 3.1 3a")</f>
        <v>3 3.1 3a</v>
      </c>
      <c r="M6" s="7" t="str">
        <f>CONCATENATE("LBRMTT93P26A465A")</f>
        <v>LBRMTT93P26A465A</v>
      </c>
      <c r="N6" s="7" t="s">
        <v>50</v>
      </c>
      <c r="O6" s="7" t="s">
        <v>51</v>
      </c>
      <c r="P6" s="8">
        <v>44488</v>
      </c>
      <c r="Q6" s="7" t="s">
        <v>32</v>
      </c>
      <c r="R6" s="7" t="s">
        <v>40</v>
      </c>
      <c r="S6" s="7" t="s">
        <v>34</v>
      </c>
      <c r="T6" s="7"/>
      <c r="U6" s="7" t="s">
        <v>35</v>
      </c>
      <c r="V6" s="7">
        <v>598.88</v>
      </c>
      <c r="W6" s="7">
        <v>258.24</v>
      </c>
      <c r="X6" s="7">
        <v>238.47</v>
      </c>
      <c r="Y6" s="7">
        <v>0</v>
      </c>
      <c r="Z6" s="7">
        <v>102.17</v>
      </c>
    </row>
    <row r="7" spans="1:26" x14ac:dyDescent="0.35">
      <c r="A7" s="7" t="s">
        <v>27</v>
      </c>
      <c r="B7" s="7" t="s">
        <v>28</v>
      </c>
      <c r="C7" s="7" t="s">
        <v>43</v>
      </c>
      <c r="D7" s="7" t="s">
        <v>43</v>
      </c>
      <c r="E7" s="7" t="s">
        <v>29</v>
      </c>
      <c r="F7" s="7" t="s">
        <v>29</v>
      </c>
      <c r="G7" s="7">
        <v>2017</v>
      </c>
      <c r="H7" s="7" t="str">
        <f>CONCATENATE("14270276885")</f>
        <v>14270276885</v>
      </c>
      <c r="I7" s="7" t="s">
        <v>30</v>
      </c>
      <c r="J7" s="7" t="s">
        <v>31</v>
      </c>
      <c r="K7" s="7" t="str">
        <f>CONCATENATE("")</f>
        <v/>
      </c>
      <c r="L7" s="7" t="str">
        <f>CONCATENATE("19 19.2 6b")</f>
        <v>19 19.2 6b</v>
      </c>
      <c r="M7" s="7" t="str">
        <f>CONCATENATE("81002090447")</f>
        <v>81002090447</v>
      </c>
      <c r="N7" s="7" t="s">
        <v>52</v>
      </c>
      <c r="O7" s="7" t="s">
        <v>53</v>
      </c>
      <c r="P7" s="8">
        <v>44488</v>
      </c>
      <c r="Q7" s="7" t="s">
        <v>32</v>
      </c>
      <c r="R7" s="7" t="s">
        <v>42</v>
      </c>
      <c r="S7" s="7" t="s">
        <v>34</v>
      </c>
      <c r="T7" s="7"/>
      <c r="U7" s="7" t="s">
        <v>35</v>
      </c>
      <c r="V7" s="9">
        <v>57000</v>
      </c>
      <c r="W7" s="9">
        <v>24578.400000000001</v>
      </c>
      <c r="X7" s="9">
        <v>22697.4</v>
      </c>
      <c r="Y7" s="7">
        <v>0</v>
      </c>
      <c r="Z7" s="9">
        <v>9724.2000000000007</v>
      </c>
    </row>
    <row r="8" spans="1:26" x14ac:dyDescent="0.35">
      <c r="A8" s="7" t="s">
        <v>27</v>
      </c>
      <c r="B8" s="7" t="s">
        <v>28</v>
      </c>
      <c r="C8" s="7" t="s">
        <v>43</v>
      </c>
      <c r="D8" s="7" t="s">
        <v>43</v>
      </c>
      <c r="E8" s="7" t="s">
        <v>29</v>
      </c>
      <c r="F8" s="7" t="s">
        <v>29</v>
      </c>
      <c r="G8" s="7">
        <v>2017</v>
      </c>
      <c r="H8" s="7" t="str">
        <f>CONCATENATE("14270215388")</f>
        <v>14270215388</v>
      </c>
      <c r="I8" s="7" t="s">
        <v>30</v>
      </c>
      <c r="J8" s="7" t="s">
        <v>31</v>
      </c>
      <c r="K8" s="7" t="str">
        <f>CONCATENATE("")</f>
        <v/>
      </c>
      <c r="L8" s="7" t="str">
        <f>CONCATENATE("19 19.2 6b")</f>
        <v>19 19.2 6b</v>
      </c>
      <c r="M8" s="7" t="str">
        <f>CONCATENATE("00360660419")</f>
        <v>00360660419</v>
      </c>
      <c r="N8" s="7" t="s">
        <v>54</v>
      </c>
      <c r="O8" s="7" t="s">
        <v>55</v>
      </c>
      <c r="P8" s="8">
        <v>44488</v>
      </c>
      <c r="Q8" s="7" t="s">
        <v>32</v>
      </c>
      <c r="R8" s="7" t="s">
        <v>42</v>
      </c>
      <c r="S8" s="7" t="s">
        <v>34</v>
      </c>
      <c r="T8" s="7"/>
      <c r="U8" s="7" t="s">
        <v>35</v>
      </c>
      <c r="V8" s="9">
        <v>30298.94</v>
      </c>
      <c r="W8" s="9">
        <v>13064.9</v>
      </c>
      <c r="X8" s="9">
        <v>12065.04</v>
      </c>
      <c r="Y8" s="7">
        <v>0</v>
      </c>
      <c r="Z8" s="9">
        <v>5169</v>
      </c>
    </row>
    <row r="9" spans="1:26" x14ac:dyDescent="0.35">
      <c r="A9" s="7" t="s">
        <v>27</v>
      </c>
      <c r="B9" s="7" t="s">
        <v>28</v>
      </c>
      <c r="C9" s="7" t="s">
        <v>43</v>
      </c>
      <c r="D9" s="7" t="s">
        <v>43</v>
      </c>
      <c r="E9" s="7" t="s">
        <v>29</v>
      </c>
      <c r="F9" s="7" t="s">
        <v>29</v>
      </c>
      <c r="G9" s="7">
        <v>2017</v>
      </c>
      <c r="H9" s="7" t="str">
        <f>CONCATENATE("14270215396")</f>
        <v>14270215396</v>
      </c>
      <c r="I9" s="7" t="s">
        <v>30</v>
      </c>
      <c r="J9" s="7" t="s">
        <v>31</v>
      </c>
      <c r="K9" s="7" t="str">
        <f>CONCATENATE("")</f>
        <v/>
      </c>
      <c r="L9" s="7" t="str">
        <f>CONCATENATE("19 19.2 6b")</f>
        <v>19 19.2 6b</v>
      </c>
      <c r="M9" s="7" t="str">
        <f>CONCATENATE("00360580419")</f>
        <v>00360580419</v>
      </c>
      <c r="N9" s="7" t="s">
        <v>56</v>
      </c>
      <c r="O9" s="7" t="s">
        <v>55</v>
      </c>
      <c r="P9" s="8">
        <v>44488</v>
      </c>
      <c r="Q9" s="7" t="s">
        <v>32</v>
      </c>
      <c r="R9" s="7" t="s">
        <v>42</v>
      </c>
      <c r="S9" s="7" t="s">
        <v>34</v>
      </c>
      <c r="T9" s="7"/>
      <c r="U9" s="7" t="s">
        <v>35</v>
      </c>
      <c r="V9" s="9">
        <v>23818.240000000002</v>
      </c>
      <c r="W9" s="9">
        <v>10270.43</v>
      </c>
      <c r="X9" s="9">
        <v>9484.42</v>
      </c>
      <c r="Y9" s="7">
        <v>0</v>
      </c>
      <c r="Z9" s="9">
        <v>4063.39</v>
      </c>
    </row>
    <row r="10" spans="1:26" x14ac:dyDescent="0.35">
      <c r="A10" s="7" t="s">
        <v>27</v>
      </c>
      <c r="B10" s="7" t="s">
        <v>28</v>
      </c>
      <c r="C10" s="7" t="s">
        <v>43</v>
      </c>
      <c r="D10" s="7" t="s">
        <v>43</v>
      </c>
      <c r="E10" s="7" t="s">
        <v>29</v>
      </c>
      <c r="F10" s="7" t="s">
        <v>29</v>
      </c>
      <c r="G10" s="7">
        <v>2017</v>
      </c>
      <c r="H10" s="7" t="str">
        <f>CONCATENATE("14270215404")</f>
        <v>14270215404</v>
      </c>
      <c r="I10" s="7" t="s">
        <v>30</v>
      </c>
      <c r="J10" s="7" t="s">
        <v>31</v>
      </c>
      <c r="K10" s="7" t="str">
        <f>CONCATENATE("")</f>
        <v/>
      </c>
      <c r="L10" s="7" t="str">
        <f>CONCATENATE("19 19.2 6b")</f>
        <v>19 19.2 6b</v>
      </c>
      <c r="M10" s="7" t="str">
        <f>CONCATENATE("82001930419")</f>
        <v>82001930419</v>
      </c>
      <c r="N10" s="7" t="s">
        <v>57</v>
      </c>
      <c r="O10" s="7" t="s">
        <v>55</v>
      </c>
      <c r="P10" s="8">
        <v>44488</v>
      </c>
      <c r="Q10" s="7" t="s">
        <v>32</v>
      </c>
      <c r="R10" s="7" t="s">
        <v>42</v>
      </c>
      <c r="S10" s="7" t="s">
        <v>34</v>
      </c>
      <c r="T10" s="7"/>
      <c r="U10" s="7" t="s">
        <v>35</v>
      </c>
      <c r="V10" s="9">
        <v>33751.300000000003</v>
      </c>
      <c r="W10" s="9">
        <v>14553.56</v>
      </c>
      <c r="X10" s="9">
        <v>13439.77</v>
      </c>
      <c r="Y10" s="7">
        <v>0</v>
      </c>
      <c r="Z10" s="9">
        <v>5757.97</v>
      </c>
    </row>
    <row r="11" spans="1:26" x14ac:dyDescent="0.35">
      <c r="A11" s="7" t="s">
        <v>27</v>
      </c>
      <c r="B11" s="7" t="s">
        <v>28</v>
      </c>
      <c r="C11" s="7" t="s">
        <v>43</v>
      </c>
      <c r="D11" s="7" t="s">
        <v>43</v>
      </c>
      <c r="E11" s="7" t="s">
        <v>29</v>
      </c>
      <c r="F11" s="7" t="s">
        <v>29</v>
      </c>
      <c r="G11" s="7">
        <v>2017</v>
      </c>
      <c r="H11" s="7" t="str">
        <f>CONCATENATE("14270237929")</f>
        <v>14270237929</v>
      </c>
      <c r="I11" s="7" t="s">
        <v>30</v>
      </c>
      <c r="J11" s="7" t="s">
        <v>31</v>
      </c>
      <c r="K11" s="7" t="str">
        <f>CONCATENATE("")</f>
        <v/>
      </c>
      <c r="L11" s="7" t="str">
        <f>CONCATENATE("19 19.2 6b")</f>
        <v>19 19.2 6b</v>
      </c>
      <c r="M11" s="7" t="str">
        <f>CONCATENATE("00269440434")</f>
        <v>00269440434</v>
      </c>
      <c r="N11" s="7" t="s">
        <v>58</v>
      </c>
      <c r="O11" s="7" t="s">
        <v>59</v>
      </c>
      <c r="P11" s="8">
        <v>44488</v>
      </c>
      <c r="Q11" s="7" t="s">
        <v>32</v>
      </c>
      <c r="R11" s="7" t="s">
        <v>42</v>
      </c>
      <c r="S11" s="7" t="s">
        <v>34</v>
      </c>
      <c r="T11" s="7"/>
      <c r="U11" s="7" t="s">
        <v>35</v>
      </c>
      <c r="V11" s="9">
        <v>20338</v>
      </c>
      <c r="W11" s="9">
        <v>8769.75</v>
      </c>
      <c r="X11" s="9">
        <v>8098.59</v>
      </c>
      <c r="Y11" s="7">
        <v>0</v>
      </c>
      <c r="Z11" s="9">
        <v>3469.66</v>
      </c>
    </row>
    <row r="12" spans="1:26" x14ac:dyDescent="0.35">
      <c r="A12" s="7" t="s">
        <v>27</v>
      </c>
      <c r="B12" s="7" t="s">
        <v>28</v>
      </c>
      <c r="C12" s="7" t="s">
        <v>43</v>
      </c>
      <c r="D12" s="7" t="s">
        <v>43</v>
      </c>
      <c r="E12" s="7" t="s">
        <v>29</v>
      </c>
      <c r="F12" s="7" t="s">
        <v>29</v>
      </c>
      <c r="G12" s="7">
        <v>2017</v>
      </c>
      <c r="H12" s="7" t="str">
        <f>CONCATENATE("14270276919")</f>
        <v>14270276919</v>
      </c>
      <c r="I12" s="7" t="s">
        <v>30</v>
      </c>
      <c r="J12" s="7" t="s">
        <v>31</v>
      </c>
      <c r="K12" s="7" t="str">
        <f>CONCATENATE("")</f>
        <v/>
      </c>
      <c r="L12" s="7" t="str">
        <f>CONCATENATE("19 19.2 6b")</f>
        <v>19 19.2 6b</v>
      </c>
      <c r="M12" s="7" t="str">
        <f>CONCATENATE("00224000430")</f>
        <v>00224000430</v>
      </c>
      <c r="N12" s="7" t="s">
        <v>60</v>
      </c>
      <c r="O12" s="7" t="s">
        <v>61</v>
      </c>
      <c r="P12" s="8">
        <v>44489</v>
      </c>
      <c r="Q12" s="7" t="s">
        <v>32</v>
      </c>
      <c r="R12" s="7" t="s">
        <v>42</v>
      </c>
      <c r="S12" s="7" t="s">
        <v>34</v>
      </c>
      <c r="T12" s="7"/>
      <c r="U12" s="7" t="s">
        <v>35</v>
      </c>
      <c r="V12" s="9">
        <v>45000</v>
      </c>
      <c r="W12" s="9">
        <v>19404</v>
      </c>
      <c r="X12" s="9">
        <v>17919</v>
      </c>
      <c r="Y12" s="7">
        <v>0</v>
      </c>
      <c r="Z12" s="9">
        <v>7677</v>
      </c>
    </row>
    <row r="13" spans="1:26" x14ac:dyDescent="0.35">
      <c r="A13" s="7" t="s">
        <v>27</v>
      </c>
      <c r="B13" s="7" t="s">
        <v>28</v>
      </c>
      <c r="C13" s="7" t="s">
        <v>43</v>
      </c>
      <c r="D13" s="7" t="s">
        <v>48</v>
      </c>
      <c r="E13" s="7" t="s">
        <v>29</v>
      </c>
      <c r="F13" s="7" t="s">
        <v>29</v>
      </c>
      <c r="G13" s="7">
        <v>2017</v>
      </c>
      <c r="H13" s="7" t="str">
        <f>CONCATENATE("14270216410")</f>
        <v>14270216410</v>
      </c>
      <c r="I13" s="7" t="s">
        <v>30</v>
      </c>
      <c r="J13" s="7" t="s">
        <v>31</v>
      </c>
      <c r="K13" s="7" t="str">
        <f>CONCATENATE("")</f>
        <v/>
      </c>
      <c r="L13" s="7" t="str">
        <f>CONCATENATE("4 4.3 2a")</f>
        <v>4 4.3 2a</v>
      </c>
      <c r="M13" s="7" t="str">
        <f>CONCATENATE("01874180431")</f>
        <v>01874180431</v>
      </c>
      <c r="N13" s="7" t="s">
        <v>62</v>
      </c>
      <c r="O13" s="7" t="s">
        <v>63</v>
      </c>
      <c r="P13" s="8">
        <v>44489</v>
      </c>
      <c r="Q13" s="7" t="s">
        <v>32</v>
      </c>
      <c r="R13" s="7" t="s">
        <v>42</v>
      </c>
      <c r="S13" s="7" t="s">
        <v>34</v>
      </c>
      <c r="T13" s="7"/>
      <c r="U13" s="7" t="s">
        <v>35</v>
      </c>
      <c r="V13" s="9">
        <v>31676.9</v>
      </c>
      <c r="W13" s="9">
        <v>13659.08</v>
      </c>
      <c r="X13" s="9">
        <v>12613.74</v>
      </c>
      <c r="Y13" s="7">
        <v>0</v>
      </c>
      <c r="Z13" s="9">
        <v>5404.08</v>
      </c>
    </row>
    <row r="14" spans="1:26" x14ac:dyDescent="0.35">
      <c r="A14" s="7" t="s">
        <v>27</v>
      </c>
      <c r="B14" s="7" t="s">
        <v>28</v>
      </c>
      <c r="C14" s="7" t="s">
        <v>43</v>
      </c>
      <c r="D14" s="7" t="s">
        <v>48</v>
      </c>
      <c r="E14" s="7" t="s">
        <v>29</v>
      </c>
      <c r="F14" s="7" t="s">
        <v>29</v>
      </c>
      <c r="G14" s="7">
        <v>2017</v>
      </c>
      <c r="H14" s="7" t="str">
        <f>CONCATENATE("14270283949")</f>
        <v>14270283949</v>
      </c>
      <c r="I14" s="7" t="s">
        <v>30</v>
      </c>
      <c r="J14" s="7" t="s">
        <v>31</v>
      </c>
      <c r="K14" s="7" t="str">
        <f>CONCATENATE("")</f>
        <v/>
      </c>
      <c r="L14" s="7" t="str">
        <f>CONCATENATE("4 4.3 2a")</f>
        <v>4 4.3 2a</v>
      </c>
      <c r="M14" s="7" t="str">
        <f>CONCATENATE("00215270430")</f>
        <v>00215270430</v>
      </c>
      <c r="N14" s="7" t="s">
        <v>64</v>
      </c>
      <c r="O14" s="7" t="s">
        <v>65</v>
      </c>
      <c r="P14" s="8">
        <v>44489</v>
      </c>
      <c r="Q14" s="7" t="s">
        <v>32</v>
      </c>
      <c r="R14" s="7" t="s">
        <v>42</v>
      </c>
      <c r="S14" s="7" t="s">
        <v>34</v>
      </c>
      <c r="T14" s="7"/>
      <c r="U14" s="7" t="s">
        <v>35</v>
      </c>
      <c r="V14" s="9">
        <v>42040.7</v>
      </c>
      <c r="W14" s="9">
        <v>18127.95</v>
      </c>
      <c r="X14" s="9">
        <v>16740.61</v>
      </c>
      <c r="Y14" s="7">
        <v>0</v>
      </c>
      <c r="Z14" s="9">
        <v>7172.14</v>
      </c>
    </row>
    <row r="15" spans="1:26" x14ac:dyDescent="0.35">
      <c r="A15" s="7" t="s">
        <v>27</v>
      </c>
      <c r="B15" s="7" t="s">
        <v>28</v>
      </c>
      <c r="C15" s="7" t="s">
        <v>43</v>
      </c>
      <c r="D15" s="7" t="s">
        <v>48</v>
      </c>
      <c r="E15" s="7" t="s">
        <v>29</v>
      </c>
      <c r="F15" s="7" t="s">
        <v>29</v>
      </c>
      <c r="G15" s="7">
        <v>2017</v>
      </c>
      <c r="H15" s="7" t="str">
        <f>CONCATENATE("14270283956")</f>
        <v>14270283956</v>
      </c>
      <c r="I15" s="7" t="s">
        <v>30</v>
      </c>
      <c r="J15" s="7" t="s">
        <v>31</v>
      </c>
      <c r="K15" s="7" t="str">
        <f>CONCATENATE("")</f>
        <v/>
      </c>
      <c r="L15" s="7" t="str">
        <f>CONCATENATE("4 4.3 2a")</f>
        <v>4 4.3 2a</v>
      </c>
      <c r="M15" s="7" t="str">
        <f>CONCATENATE("00215270430")</f>
        <v>00215270430</v>
      </c>
      <c r="N15" s="7" t="s">
        <v>64</v>
      </c>
      <c r="O15" s="7" t="s">
        <v>65</v>
      </c>
      <c r="P15" s="8">
        <v>44489</v>
      </c>
      <c r="Q15" s="7" t="s">
        <v>32</v>
      </c>
      <c r="R15" s="7" t="s">
        <v>42</v>
      </c>
      <c r="S15" s="7" t="s">
        <v>34</v>
      </c>
      <c r="T15" s="7"/>
      <c r="U15" s="7" t="s">
        <v>35</v>
      </c>
      <c r="V15" s="9">
        <v>84763.54</v>
      </c>
      <c r="W15" s="9">
        <v>36550.04</v>
      </c>
      <c r="X15" s="9">
        <v>33752.839999999997</v>
      </c>
      <c r="Y15" s="7">
        <v>0</v>
      </c>
      <c r="Z15" s="9">
        <v>14460.66</v>
      </c>
    </row>
    <row r="16" spans="1:26" x14ac:dyDescent="0.35">
      <c r="A16" s="7" t="s">
        <v>27</v>
      </c>
      <c r="B16" s="7" t="s">
        <v>28</v>
      </c>
      <c r="C16" s="7" t="s">
        <v>43</v>
      </c>
      <c r="D16" s="7" t="s">
        <v>48</v>
      </c>
      <c r="E16" s="7" t="s">
        <v>29</v>
      </c>
      <c r="F16" s="7" t="s">
        <v>29</v>
      </c>
      <c r="G16" s="7">
        <v>2017</v>
      </c>
      <c r="H16" s="7" t="str">
        <f>CONCATENATE("14270216428")</f>
        <v>14270216428</v>
      </c>
      <c r="I16" s="7" t="s">
        <v>30</v>
      </c>
      <c r="J16" s="7" t="s">
        <v>31</v>
      </c>
      <c r="K16" s="7" t="str">
        <f>CONCATENATE("")</f>
        <v/>
      </c>
      <c r="L16" s="7" t="str">
        <f>CONCATENATE("4 4.3 2a")</f>
        <v>4 4.3 2a</v>
      </c>
      <c r="M16" s="7" t="str">
        <f>CONCATENATE("81000910430")</f>
        <v>81000910430</v>
      </c>
      <c r="N16" s="7" t="s">
        <v>66</v>
      </c>
      <c r="O16" s="7" t="s">
        <v>63</v>
      </c>
      <c r="P16" s="8">
        <v>44489</v>
      </c>
      <c r="Q16" s="7" t="s">
        <v>32</v>
      </c>
      <c r="R16" s="7" t="s">
        <v>42</v>
      </c>
      <c r="S16" s="7" t="s">
        <v>34</v>
      </c>
      <c r="T16" s="7"/>
      <c r="U16" s="7" t="s">
        <v>35</v>
      </c>
      <c r="V16" s="9">
        <v>33260.949999999997</v>
      </c>
      <c r="W16" s="9">
        <v>14342.12</v>
      </c>
      <c r="X16" s="9">
        <v>13244.51</v>
      </c>
      <c r="Y16" s="7">
        <v>0</v>
      </c>
      <c r="Z16" s="9">
        <v>5674.32</v>
      </c>
    </row>
    <row r="17" spans="1:26" x14ac:dyDescent="0.35">
      <c r="A17" s="7" t="s">
        <v>27</v>
      </c>
      <c r="B17" s="7" t="s">
        <v>28</v>
      </c>
      <c r="C17" s="7" t="s">
        <v>43</v>
      </c>
      <c r="D17" s="7" t="s">
        <v>48</v>
      </c>
      <c r="E17" s="7" t="s">
        <v>29</v>
      </c>
      <c r="F17" s="7" t="s">
        <v>29</v>
      </c>
      <c r="G17" s="7">
        <v>2017</v>
      </c>
      <c r="H17" s="7" t="str">
        <f>CONCATENATE("14270216386")</f>
        <v>14270216386</v>
      </c>
      <c r="I17" s="7" t="s">
        <v>30</v>
      </c>
      <c r="J17" s="7" t="s">
        <v>31</v>
      </c>
      <c r="K17" s="7" t="str">
        <f>CONCATENATE("")</f>
        <v/>
      </c>
      <c r="L17" s="7" t="str">
        <f>CONCATENATE("4 4.3 2a")</f>
        <v>4 4.3 2a</v>
      </c>
      <c r="M17" s="7" t="str">
        <f>CONCATENATE("81000910430")</f>
        <v>81000910430</v>
      </c>
      <c r="N17" s="7" t="s">
        <v>66</v>
      </c>
      <c r="O17" s="7" t="s">
        <v>63</v>
      </c>
      <c r="P17" s="8">
        <v>44489</v>
      </c>
      <c r="Q17" s="7" t="s">
        <v>32</v>
      </c>
      <c r="R17" s="7" t="s">
        <v>42</v>
      </c>
      <c r="S17" s="7" t="s">
        <v>34</v>
      </c>
      <c r="T17" s="7"/>
      <c r="U17" s="7" t="s">
        <v>35</v>
      </c>
      <c r="V17" s="9">
        <v>23241.58</v>
      </c>
      <c r="W17" s="9">
        <v>10021.77</v>
      </c>
      <c r="X17" s="9">
        <v>9254.7999999999993</v>
      </c>
      <c r="Y17" s="7">
        <v>0</v>
      </c>
      <c r="Z17" s="9">
        <v>3965.01</v>
      </c>
    </row>
    <row r="18" spans="1:26" x14ac:dyDescent="0.35">
      <c r="A18" s="7" t="s">
        <v>27</v>
      </c>
      <c r="B18" s="7" t="s">
        <v>28</v>
      </c>
      <c r="C18" s="7" t="s">
        <v>43</v>
      </c>
      <c r="D18" s="7" t="s">
        <v>48</v>
      </c>
      <c r="E18" s="7" t="s">
        <v>29</v>
      </c>
      <c r="F18" s="7" t="s">
        <v>29</v>
      </c>
      <c r="G18" s="7">
        <v>2017</v>
      </c>
      <c r="H18" s="7" t="str">
        <f>CONCATENATE("14270220073")</f>
        <v>14270220073</v>
      </c>
      <c r="I18" s="7" t="s">
        <v>30</v>
      </c>
      <c r="J18" s="7" t="s">
        <v>31</v>
      </c>
      <c r="K18" s="7" t="str">
        <f>CONCATENATE("")</f>
        <v/>
      </c>
      <c r="L18" s="7" t="str">
        <f>CONCATENATE("4 4.3 2a")</f>
        <v>4 4.3 2a</v>
      </c>
      <c r="M18" s="7" t="str">
        <f>CONCATENATE("01874180431")</f>
        <v>01874180431</v>
      </c>
      <c r="N18" s="7" t="s">
        <v>62</v>
      </c>
      <c r="O18" s="7" t="s">
        <v>63</v>
      </c>
      <c r="P18" s="8">
        <v>44489</v>
      </c>
      <c r="Q18" s="7" t="s">
        <v>32</v>
      </c>
      <c r="R18" s="7" t="s">
        <v>42</v>
      </c>
      <c r="S18" s="7" t="s">
        <v>34</v>
      </c>
      <c r="T18" s="7"/>
      <c r="U18" s="7" t="s">
        <v>35</v>
      </c>
      <c r="V18" s="9">
        <v>8160.48</v>
      </c>
      <c r="W18" s="9">
        <v>3518.8</v>
      </c>
      <c r="X18" s="9">
        <v>3249.5</v>
      </c>
      <c r="Y18" s="7">
        <v>0</v>
      </c>
      <c r="Z18" s="9">
        <v>1392.18</v>
      </c>
    </row>
    <row r="19" spans="1:26" x14ac:dyDescent="0.35">
      <c r="A19" s="7" t="s">
        <v>27</v>
      </c>
      <c r="B19" s="7" t="s">
        <v>28</v>
      </c>
      <c r="C19" s="7" t="s">
        <v>43</v>
      </c>
      <c r="D19" s="7" t="s">
        <v>48</v>
      </c>
      <c r="E19" s="7" t="s">
        <v>29</v>
      </c>
      <c r="F19" s="7" t="s">
        <v>29</v>
      </c>
      <c r="G19" s="7">
        <v>2017</v>
      </c>
      <c r="H19" s="7" t="str">
        <f>CONCATENATE("14270216477")</f>
        <v>14270216477</v>
      </c>
      <c r="I19" s="7" t="s">
        <v>30</v>
      </c>
      <c r="J19" s="7" t="s">
        <v>31</v>
      </c>
      <c r="K19" s="7" t="str">
        <f>CONCATENATE("")</f>
        <v/>
      </c>
      <c r="L19" s="7" t="str">
        <f>CONCATENATE("4 4.3 2a")</f>
        <v>4 4.3 2a</v>
      </c>
      <c r="M19" s="7" t="str">
        <f>CONCATENATE("01874180431")</f>
        <v>01874180431</v>
      </c>
      <c r="N19" s="7" t="s">
        <v>62</v>
      </c>
      <c r="O19" s="7" t="s">
        <v>63</v>
      </c>
      <c r="P19" s="8">
        <v>44489</v>
      </c>
      <c r="Q19" s="7" t="s">
        <v>32</v>
      </c>
      <c r="R19" s="7" t="s">
        <v>42</v>
      </c>
      <c r="S19" s="7" t="s">
        <v>34</v>
      </c>
      <c r="T19" s="7"/>
      <c r="U19" s="7" t="s">
        <v>35</v>
      </c>
      <c r="V19" s="9">
        <v>37913.06</v>
      </c>
      <c r="W19" s="9">
        <v>16348.11</v>
      </c>
      <c r="X19" s="9">
        <v>15096.98</v>
      </c>
      <c r="Y19" s="7">
        <v>0</v>
      </c>
      <c r="Z19" s="9">
        <v>6467.97</v>
      </c>
    </row>
    <row r="20" spans="1:26" x14ac:dyDescent="0.35">
      <c r="A20" s="7" t="s">
        <v>27</v>
      </c>
      <c r="B20" s="7" t="s">
        <v>28</v>
      </c>
      <c r="C20" s="7" t="s">
        <v>43</v>
      </c>
      <c r="D20" s="7" t="s">
        <v>48</v>
      </c>
      <c r="E20" s="7" t="s">
        <v>29</v>
      </c>
      <c r="F20" s="7" t="s">
        <v>29</v>
      </c>
      <c r="G20" s="7">
        <v>2017</v>
      </c>
      <c r="H20" s="7" t="str">
        <f>CONCATENATE("14270216436")</f>
        <v>14270216436</v>
      </c>
      <c r="I20" s="7" t="s">
        <v>30</v>
      </c>
      <c r="J20" s="7" t="s">
        <v>31</v>
      </c>
      <c r="K20" s="7" t="str">
        <f>CONCATENATE("")</f>
        <v/>
      </c>
      <c r="L20" s="7" t="str">
        <f>CONCATENATE("4 4.3 2a")</f>
        <v>4 4.3 2a</v>
      </c>
      <c r="M20" s="7" t="str">
        <f>CONCATENATE("01874180431")</f>
        <v>01874180431</v>
      </c>
      <c r="N20" s="7" t="s">
        <v>62</v>
      </c>
      <c r="O20" s="7" t="s">
        <v>63</v>
      </c>
      <c r="P20" s="8">
        <v>44489</v>
      </c>
      <c r="Q20" s="7" t="s">
        <v>32</v>
      </c>
      <c r="R20" s="7" t="s">
        <v>42</v>
      </c>
      <c r="S20" s="7" t="s">
        <v>34</v>
      </c>
      <c r="T20" s="7"/>
      <c r="U20" s="7" t="s">
        <v>35</v>
      </c>
      <c r="V20" s="9">
        <v>25779.41</v>
      </c>
      <c r="W20" s="9">
        <v>11116.08</v>
      </c>
      <c r="X20" s="9">
        <v>10265.36</v>
      </c>
      <c r="Y20" s="7">
        <v>0</v>
      </c>
      <c r="Z20" s="9">
        <v>4397.97</v>
      </c>
    </row>
    <row r="21" spans="1:26" x14ac:dyDescent="0.35">
      <c r="A21" s="7" t="s">
        <v>27</v>
      </c>
      <c r="B21" s="7" t="s">
        <v>28</v>
      </c>
      <c r="C21" s="7" t="s">
        <v>43</v>
      </c>
      <c r="D21" s="7" t="s">
        <v>48</v>
      </c>
      <c r="E21" s="7" t="s">
        <v>29</v>
      </c>
      <c r="F21" s="7" t="s">
        <v>29</v>
      </c>
      <c r="G21" s="7">
        <v>2017</v>
      </c>
      <c r="H21" s="7" t="str">
        <f>CONCATENATE("14270216485")</f>
        <v>14270216485</v>
      </c>
      <c r="I21" s="7" t="s">
        <v>30</v>
      </c>
      <c r="J21" s="7" t="s">
        <v>31</v>
      </c>
      <c r="K21" s="7" t="str">
        <f>CONCATENATE("")</f>
        <v/>
      </c>
      <c r="L21" s="7" t="str">
        <f>CONCATENATE("4 4.3 2a")</f>
        <v>4 4.3 2a</v>
      </c>
      <c r="M21" s="7" t="str">
        <f>CONCATENATE("01874180431")</f>
        <v>01874180431</v>
      </c>
      <c r="N21" s="7" t="s">
        <v>62</v>
      </c>
      <c r="O21" s="7" t="s">
        <v>63</v>
      </c>
      <c r="P21" s="8">
        <v>44489</v>
      </c>
      <c r="Q21" s="7" t="s">
        <v>32</v>
      </c>
      <c r="R21" s="7" t="s">
        <v>42</v>
      </c>
      <c r="S21" s="7" t="s">
        <v>34</v>
      </c>
      <c r="T21" s="7"/>
      <c r="U21" s="7" t="s">
        <v>35</v>
      </c>
      <c r="V21" s="9">
        <v>34658.53</v>
      </c>
      <c r="W21" s="9">
        <v>14944.76</v>
      </c>
      <c r="X21" s="9">
        <v>13801.03</v>
      </c>
      <c r="Y21" s="7">
        <v>0</v>
      </c>
      <c r="Z21" s="9">
        <v>5912.74</v>
      </c>
    </row>
    <row r="22" spans="1:26" x14ac:dyDescent="0.35">
      <c r="A22" s="7" t="s">
        <v>27</v>
      </c>
      <c r="B22" s="7" t="s">
        <v>28</v>
      </c>
      <c r="C22" s="7" t="s">
        <v>43</v>
      </c>
      <c r="D22" s="7" t="s">
        <v>48</v>
      </c>
      <c r="E22" s="7" t="s">
        <v>29</v>
      </c>
      <c r="F22" s="7" t="s">
        <v>29</v>
      </c>
      <c r="G22" s="7">
        <v>2017</v>
      </c>
      <c r="H22" s="7" t="str">
        <f>CONCATENATE("14270216592")</f>
        <v>14270216592</v>
      </c>
      <c r="I22" s="7" t="s">
        <v>30</v>
      </c>
      <c r="J22" s="7" t="s">
        <v>31</v>
      </c>
      <c r="K22" s="7" t="str">
        <f>CONCATENATE("")</f>
        <v/>
      </c>
      <c r="L22" s="7" t="str">
        <f>CONCATENATE("4 4.3 2a")</f>
        <v>4 4.3 2a</v>
      </c>
      <c r="M22" s="7" t="str">
        <f>CONCATENATE("01874180431")</f>
        <v>01874180431</v>
      </c>
      <c r="N22" s="7" t="s">
        <v>62</v>
      </c>
      <c r="O22" s="7" t="s">
        <v>63</v>
      </c>
      <c r="P22" s="8">
        <v>44489</v>
      </c>
      <c r="Q22" s="7" t="s">
        <v>32</v>
      </c>
      <c r="R22" s="7" t="s">
        <v>42</v>
      </c>
      <c r="S22" s="7" t="s">
        <v>34</v>
      </c>
      <c r="T22" s="7"/>
      <c r="U22" s="7" t="s">
        <v>35</v>
      </c>
      <c r="V22" s="9">
        <v>16636.98</v>
      </c>
      <c r="W22" s="9">
        <v>7173.87</v>
      </c>
      <c r="X22" s="9">
        <v>6624.85</v>
      </c>
      <c r="Y22" s="7">
        <v>0</v>
      </c>
      <c r="Z22" s="9">
        <v>2838.26</v>
      </c>
    </row>
    <row r="23" spans="1:26" x14ac:dyDescent="0.35">
      <c r="A23" s="7" t="s">
        <v>27</v>
      </c>
      <c r="B23" s="7" t="s">
        <v>28</v>
      </c>
      <c r="C23" s="7" t="s">
        <v>43</v>
      </c>
      <c r="D23" s="7" t="s">
        <v>48</v>
      </c>
      <c r="E23" s="7" t="s">
        <v>29</v>
      </c>
      <c r="F23" s="7" t="s">
        <v>29</v>
      </c>
      <c r="G23" s="7">
        <v>2017</v>
      </c>
      <c r="H23" s="7" t="str">
        <f>CONCATENATE("14270216402")</f>
        <v>14270216402</v>
      </c>
      <c r="I23" s="7" t="s">
        <v>30</v>
      </c>
      <c r="J23" s="7" t="s">
        <v>31</v>
      </c>
      <c r="K23" s="7" t="str">
        <f>CONCATENATE("")</f>
        <v/>
      </c>
      <c r="L23" s="7" t="str">
        <f>CONCATENATE("4 4.3 2a")</f>
        <v>4 4.3 2a</v>
      </c>
      <c r="M23" s="7" t="str">
        <f>CONCATENATE("01874180431")</f>
        <v>01874180431</v>
      </c>
      <c r="N23" s="7" t="s">
        <v>62</v>
      </c>
      <c r="O23" s="7" t="s">
        <v>63</v>
      </c>
      <c r="P23" s="8">
        <v>44489</v>
      </c>
      <c r="Q23" s="7" t="s">
        <v>32</v>
      </c>
      <c r="R23" s="7" t="s">
        <v>42</v>
      </c>
      <c r="S23" s="7" t="s">
        <v>34</v>
      </c>
      <c r="T23" s="7"/>
      <c r="U23" s="7" t="s">
        <v>35</v>
      </c>
      <c r="V23" s="9">
        <v>75000</v>
      </c>
      <c r="W23" s="9">
        <v>32340</v>
      </c>
      <c r="X23" s="9">
        <v>29865</v>
      </c>
      <c r="Y23" s="7">
        <v>0</v>
      </c>
      <c r="Z23" s="9">
        <v>12795</v>
      </c>
    </row>
    <row r="24" spans="1:26" x14ac:dyDescent="0.35">
      <c r="A24" s="7" t="s">
        <v>27</v>
      </c>
      <c r="B24" s="7" t="s">
        <v>28</v>
      </c>
      <c r="C24" s="7" t="s">
        <v>43</v>
      </c>
      <c r="D24" s="7" t="s">
        <v>48</v>
      </c>
      <c r="E24" s="7" t="s">
        <v>29</v>
      </c>
      <c r="F24" s="7" t="s">
        <v>29</v>
      </c>
      <c r="G24" s="7">
        <v>2017</v>
      </c>
      <c r="H24" s="7" t="str">
        <f>CONCATENATE("14270220040")</f>
        <v>14270220040</v>
      </c>
      <c r="I24" s="7" t="s">
        <v>30</v>
      </c>
      <c r="J24" s="7" t="s">
        <v>31</v>
      </c>
      <c r="K24" s="7" t="str">
        <f>CONCATENATE("")</f>
        <v/>
      </c>
      <c r="L24" s="7" t="str">
        <f>CONCATENATE("4 4.3 2a")</f>
        <v>4 4.3 2a</v>
      </c>
      <c r="M24" s="7" t="str">
        <f>CONCATENATE("01874180431")</f>
        <v>01874180431</v>
      </c>
      <c r="N24" s="7" t="s">
        <v>62</v>
      </c>
      <c r="O24" s="7" t="s">
        <v>63</v>
      </c>
      <c r="P24" s="8">
        <v>44489</v>
      </c>
      <c r="Q24" s="7" t="s">
        <v>32</v>
      </c>
      <c r="R24" s="7" t="s">
        <v>42</v>
      </c>
      <c r="S24" s="7" t="s">
        <v>34</v>
      </c>
      <c r="T24" s="7"/>
      <c r="U24" s="7" t="s">
        <v>35</v>
      </c>
      <c r="V24" s="9">
        <v>49310.8</v>
      </c>
      <c r="W24" s="9">
        <v>21262.82</v>
      </c>
      <c r="X24" s="9">
        <v>19635.560000000001</v>
      </c>
      <c r="Y24" s="7">
        <v>0</v>
      </c>
      <c r="Z24" s="9">
        <v>8412.42</v>
      </c>
    </row>
    <row r="25" spans="1:26" x14ac:dyDescent="0.35">
      <c r="A25" s="7" t="s">
        <v>27</v>
      </c>
      <c r="B25" s="7" t="s">
        <v>28</v>
      </c>
      <c r="C25" s="7" t="s">
        <v>43</v>
      </c>
      <c r="D25" s="7" t="s">
        <v>48</v>
      </c>
      <c r="E25" s="7" t="s">
        <v>29</v>
      </c>
      <c r="F25" s="7" t="s">
        <v>29</v>
      </c>
      <c r="G25" s="7">
        <v>2017</v>
      </c>
      <c r="H25" s="7" t="str">
        <f>CONCATENATE("14270216394")</f>
        <v>14270216394</v>
      </c>
      <c r="I25" s="7" t="s">
        <v>30</v>
      </c>
      <c r="J25" s="7" t="s">
        <v>31</v>
      </c>
      <c r="K25" s="7" t="str">
        <f>CONCATENATE("")</f>
        <v/>
      </c>
      <c r="L25" s="7" t="str">
        <f>CONCATENATE("4 4.3 2a")</f>
        <v>4 4.3 2a</v>
      </c>
      <c r="M25" s="7" t="str">
        <f>CONCATENATE("01874180431")</f>
        <v>01874180431</v>
      </c>
      <c r="N25" s="7" t="s">
        <v>62</v>
      </c>
      <c r="O25" s="7" t="s">
        <v>63</v>
      </c>
      <c r="P25" s="8">
        <v>44489</v>
      </c>
      <c r="Q25" s="7" t="s">
        <v>32</v>
      </c>
      <c r="R25" s="7" t="s">
        <v>42</v>
      </c>
      <c r="S25" s="7" t="s">
        <v>34</v>
      </c>
      <c r="T25" s="7"/>
      <c r="U25" s="7" t="s">
        <v>35</v>
      </c>
      <c r="V25" s="9">
        <v>37817.94</v>
      </c>
      <c r="W25" s="9">
        <v>16307.1</v>
      </c>
      <c r="X25" s="9">
        <v>15059.1</v>
      </c>
      <c r="Y25" s="7">
        <v>0</v>
      </c>
      <c r="Z25" s="9">
        <v>6451.74</v>
      </c>
    </row>
    <row r="26" spans="1:26" x14ac:dyDescent="0.35">
      <c r="A26" s="7" t="s">
        <v>27</v>
      </c>
      <c r="B26" s="7" t="s">
        <v>28</v>
      </c>
      <c r="C26" s="7" t="s">
        <v>43</v>
      </c>
      <c r="D26" s="7" t="s">
        <v>48</v>
      </c>
      <c r="E26" s="7" t="s">
        <v>29</v>
      </c>
      <c r="F26" s="7" t="s">
        <v>29</v>
      </c>
      <c r="G26" s="7">
        <v>2017</v>
      </c>
      <c r="H26" s="7" t="str">
        <f>CONCATENATE("14270216469")</f>
        <v>14270216469</v>
      </c>
      <c r="I26" s="7" t="s">
        <v>30</v>
      </c>
      <c r="J26" s="7" t="s">
        <v>31</v>
      </c>
      <c r="K26" s="7" t="str">
        <f>CONCATENATE("")</f>
        <v/>
      </c>
      <c r="L26" s="7" t="str">
        <f>CONCATENATE("4 4.3 2a")</f>
        <v>4 4.3 2a</v>
      </c>
      <c r="M26" s="7" t="str">
        <f>CONCATENATE("01874180431")</f>
        <v>01874180431</v>
      </c>
      <c r="N26" s="7" t="s">
        <v>62</v>
      </c>
      <c r="O26" s="7" t="s">
        <v>63</v>
      </c>
      <c r="P26" s="8">
        <v>44489</v>
      </c>
      <c r="Q26" s="7" t="s">
        <v>32</v>
      </c>
      <c r="R26" s="7" t="s">
        <v>42</v>
      </c>
      <c r="S26" s="7" t="s">
        <v>34</v>
      </c>
      <c r="T26" s="7"/>
      <c r="U26" s="7" t="s">
        <v>35</v>
      </c>
      <c r="V26" s="9">
        <v>20819.23</v>
      </c>
      <c r="W26" s="9">
        <v>8977.25</v>
      </c>
      <c r="X26" s="9">
        <v>8290.2199999999993</v>
      </c>
      <c r="Y26" s="7">
        <v>0</v>
      </c>
      <c r="Z26" s="9">
        <v>3551.76</v>
      </c>
    </row>
    <row r="27" spans="1:26" x14ac:dyDescent="0.35">
      <c r="A27" s="7" t="s">
        <v>27</v>
      </c>
      <c r="B27" s="7" t="s">
        <v>28</v>
      </c>
      <c r="C27" s="7" t="s">
        <v>43</v>
      </c>
      <c r="D27" s="7" t="s">
        <v>48</v>
      </c>
      <c r="E27" s="7" t="s">
        <v>29</v>
      </c>
      <c r="F27" s="7" t="s">
        <v>29</v>
      </c>
      <c r="G27" s="7">
        <v>2017</v>
      </c>
      <c r="H27" s="7" t="str">
        <f>CONCATENATE("14270220065")</f>
        <v>14270220065</v>
      </c>
      <c r="I27" s="7" t="s">
        <v>30</v>
      </c>
      <c r="J27" s="7" t="s">
        <v>31</v>
      </c>
      <c r="K27" s="7" t="str">
        <f>CONCATENATE("")</f>
        <v/>
      </c>
      <c r="L27" s="7" t="str">
        <f>CONCATENATE("4 4.3 2a")</f>
        <v>4 4.3 2a</v>
      </c>
      <c r="M27" s="7" t="str">
        <f>CONCATENATE("01874180431")</f>
        <v>01874180431</v>
      </c>
      <c r="N27" s="7" t="s">
        <v>62</v>
      </c>
      <c r="O27" s="7" t="s">
        <v>63</v>
      </c>
      <c r="P27" s="8">
        <v>44489</v>
      </c>
      <c r="Q27" s="7" t="s">
        <v>32</v>
      </c>
      <c r="R27" s="7" t="s">
        <v>42</v>
      </c>
      <c r="S27" s="7" t="s">
        <v>34</v>
      </c>
      <c r="T27" s="7"/>
      <c r="U27" s="7" t="s">
        <v>35</v>
      </c>
      <c r="V27" s="9">
        <v>23727.83</v>
      </c>
      <c r="W27" s="9">
        <v>10231.44</v>
      </c>
      <c r="X27" s="9">
        <v>9448.42</v>
      </c>
      <c r="Y27" s="7">
        <v>0</v>
      </c>
      <c r="Z27" s="9">
        <v>4047.97</v>
      </c>
    </row>
    <row r="28" spans="1:26" x14ac:dyDescent="0.35">
      <c r="A28" s="7" t="s">
        <v>27</v>
      </c>
      <c r="B28" s="7" t="s">
        <v>28</v>
      </c>
      <c r="C28" s="7" t="s">
        <v>43</v>
      </c>
      <c r="D28" s="7" t="s">
        <v>48</v>
      </c>
      <c r="E28" s="7" t="s">
        <v>29</v>
      </c>
      <c r="F28" s="7" t="s">
        <v>29</v>
      </c>
      <c r="G28" s="7">
        <v>2017</v>
      </c>
      <c r="H28" s="7" t="str">
        <f>CONCATENATE("14270220057")</f>
        <v>14270220057</v>
      </c>
      <c r="I28" s="7" t="s">
        <v>30</v>
      </c>
      <c r="J28" s="7" t="s">
        <v>31</v>
      </c>
      <c r="K28" s="7" t="str">
        <f>CONCATENATE("")</f>
        <v/>
      </c>
      <c r="L28" s="7" t="str">
        <f>CONCATENATE("4 4.3 2a")</f>
        <v>4 4.3 2a</v>
      </c>
      <c r="M28" s="7" t="str">
        <f>CONCATENATE("01874180431")</f>
        <v>01874180431</v>
      </c>
      <c r="N28" s="7" t="s">
        <v>62</v>
      </c>
      <c r="O28" s="7" t="s">
        <v>63</v>
      </c>
      <c r="P28" s="8">
        <v>44489</v>
      </c>
      <c r="Q28" s="7" t="s">
        <v>32</v>
      </c>
      <c r="R28" s="7" t="s">
        <v>42</v>
      </c>
      <c r="S28" s="7" t="s">
        <v>34</v>
      </c>
      <c r="T28" s="7"/>
      <c r="U28" s="7" t="s">
        <v>35</v>
      </c>
      <c r="V28" s="9">
        <v>10575.76</v>
      </c>
      <c r="W28" s="9">
        <v>4560.2700000000004</v>
      </c>
      <c r="X28" s="9">
        <v>4211.2700000000004</v>
      </c>
      <c r="Y28" s="7">
        <v>0</v>
      </c>
      <c r="Z28" s="9">
        <v>1804.22</v>
      </c>
    </row>
    <row r="29" spans="1:26" x14ac:dyDescent="0.35">
      <c r="A29" s="7" t="s">
        <v>27</v>
      </c>
      <c r="B29" s="7" t="s">
        <v>28</v>
      </c>
      <c r="C29" s="7" t="s">
        <v>43</v>
      </c>
      <c r="D29" s="7" t="s">
        <v>48</v>
      </c>
      <c r="E29" s="7" t="s">
        <v>29</v>
      </c>
      <c r="F29" s="7" t="s">
        <v>29</v>
      </c>
      <c r="G29" s="7">
        <v>2017</v>
      </c>
      <c r="H29" s="7" t="str">
        <f>CONCATENATE("14270216444")</f>
        <v>14270216444</v>
      </c>
      <c r="I29" s="7" t="s">
        <v>30</v>
      </c>
      <c r="J29" s="7" t="s">
        <v>31</v>
      </c>
      <c r="K29" s="7" t="str">
        <f>CONCATENATE("")</f>
        <v/>
      </c>
      <c r="L29" s="7" t="str">
        <f>CONCATENATE("4 4.3 2a")</f>
        <v>4 4.3 2a</v>
      </c>
      <c r="M29" s="7" t="str">
        <f>CONCATENATE("01874180431")</f>
        <v>01874180431</v>
      </c>
      <c r="N29" s="7" t="s">
        <v>62</v>
      </c>
      <c r="O29" s="7" t="s">
        <v>63</v>
      </c>
      <c r="P29" s="8">
        <v>44489</v>
      </c>
      <c r="Q29" s="7" t="s">
        <v>32</v>
      </c>
      <c r="R29" s="7" t="s">
        <v>42</v>
      </c>
      <c r="S29" s="7" t="s">
        <v>34</v>
      </c>
      <c r="T29" s="7"/>
      <c r="U29" s="7" t="s">
        <v>35</v>
      </c>
      <c r="V29" s="9">
        <v>29999.83</v>
      </c>
      <c r="W29" s="9">
        <v>12935.93</v>
      </c>
      <c r="X29" s="9">
        <v>11945.93</v>
      </c>
      <c r="Y29" s="7">
        <v>0</v>
      </c>
      <c r="Z29" s="9">
        <v>5117.97</v>
      </c>
    </row>
    <row r="30" spans="1:26" x14ac:dyDescent="0.35">
      <c r="A30" s="7" t="s">
        <v>27</v>
      </c>
      <c r="B30" s="7" t="s">
        <v>28</v>
      </c>
      <c r="C30" s="7" t="s">
        <v>43</v>
      </c>
      <c r="D30" s="7" t="s">
        <v>48</v>
      </c>
      <c r="E30" s="7" t="s">
        <v>29</v>
      </c>
      <c r="F30" s="7" t="s">
        <v>29</v>
      </c>
      <c r="G30" s="7">
        <v>2017</v>
      </c>
      <c r="H30" s="7" t="str">
        <f>CONCATENATE("14270216493")</f>
        <v>14270216493</v>
      </c>
      <c r="I30" s="7" t="s">
        <v>30</v>
      </c>
      <c r="J30" s="7" t="s">
        <v>31</v>
      </c>
      <c r="K30" s="7" t="str">
        <f>CONCATENATE("")</f>
        <v/>
      </c>
      <c r="L30" s="7" t="str">
        <f>CONCATENATE("4 4.3 2a")</f>
        <v>4 4.3 2a</v>
      </c>
      <c r="M30" s="7" t="str">
        <f>CONCATENATE("01874180431")</f>
        <v>01874180431</v>
      </c>
      <c r="N30" s="7" t="s">
        <v>62</v>
      </c>
      <c r="O30" s="7" t="s">
        <v>63</v>
      </c>
      <c r="P30" s="8">
        <v>44489</v>
      </c>
      <c r="Q30" s="7" t="s">
        <v>32</v>
      </c>
      <c r="R30" s="7" t="s">
        <v>42</v>
      </c>
      <c r="S30" s="7" t="s">
        <v>34</v>
      </c>
      <c r="T30" s="7"/>
      <c r="U30" s="7" t="s">
        <v>35</v>
      </c>
      <c r="V30" s="9">
        <v>7563.09</v>
      </c>
      <c r="W30" s="9">
        <v>3261.2</v>
      </c>
      <c r="X30" s="9">
        <v>3011.62</v>
      </c>
      <c r="Y30" s="7">
        <v>0</v>
      </c>
      <c r="Z30" s="9">
        <v>1290.27</v>
      </c>
    </row>
    <row r="31" spans="1:26" x14ac:dyDescent="0.35">
      <c r="A31" s="7" t="s">
        <v>27</v>
      </c>
      <c r="B31" s="7" t="s">
        <v>28</v>
      </c>
      <c r="C31" s="7" t="s">
        <v>43</v>
      </c>
      <c r="D31" s="7" t="s">
        <v>67</v>
      </c>
      <c r="E31" s="7" t="s">
        <v>37</v>
      </c>
      <c r="F31" s="7" t="s">
        <v>49</v>
      </c>
      <c r="G31" s="7">
        <v>2017</v>
      </c>
      <c r="H31" s="7" t="str">
        <f>CONCATENATE("14270259485")</f>
        <v>14270259485</v>
      </c>
      <c r="I31" s="7" t="s">
        <v>30</v>
      </c>
      <c r="J31" s="7" t="s">
        <v>31</v>
      </c>
      <c r="K31" s="7" t="str">
        <f>CONCATENATE("")</f>
        <v/>
      </c>
      <c r="L31" s="7" t="str">
        <f>CONCATENATE("16 16.5 4c")</f>
        <v>16 16.5 4c</v>
      </c>
      <c r="M31" s="7" t="str">
        <f>CONCATENATE("02168320428")</f>
        <v>02168320428</v>
      </c>
      <c r="N31" s="7" t="s">
        <v>68</v>
      </c>
      <c r="O31" s="7" t="s">
        <v>69</v>
      </c>
      <c r="P31" s="8">
        <v>44467</v>
      </c>
      <c r="Q31" s="7" t="s">
        <v>32</v>
      </c>
      <c r="R31" s="7" t="s">
        <v>40</v>
      </c>
      <c r="S31" s="7" t="s">
        <v>34</v>
      </c>
      <c r="T31" s="7"/>
      <c r="U31" s="7" t="s">
        <v>35</v>
      </c>
      <c r="V31" s="9">
        <v>9805.8700000000008</v>
      </c>
      <c r="W31" s="9">
        <v>4228.29</v>
      </c>
      <c r="X31" s="9">
        <v>3904.7</v>
      </c>
      <c r="Y31" s="7">
        <v>0</v>
      </c>
      <c r="Z31" s="9">
        <v>1672.88</v>
      </c>
    </row>
    <row r="32" spans="1:26" x14ac:dyDescent="0.35">
      <c r="A32" s="7" t="s">
        <v>27</v>
      </c>
      <c r="B32" s="7" t="s">
        <v>41</v>
      </c>
      <c r="C32" s="7" t="s">
        <v>43</v>
      </c>
      <c r="D32" s="7" t="s">
        <v>48</v>
      </c>
      <c r="E32" s="7" t="s">
        <v>38</v>
      </c>
      <c r="F32" s="7" t="s">
        <v>70</v>
      </c>
      <c r="G32" s="7">
        <v>2018</v>
      </c>
      <c r="H32" s="7" t="str">
        <f>CONCATENATE("84240936504")</f>
        <v>84240936504</v>
      </c>
      <c r="I32" s="7" t="s">
        <v>39</v>
      </c>
      <c r="J32" s="7" t="s">
        <v>31</v>
      </c>
      <c r="K32" s="7" t="str">
        <f>CONCATENATE("")</f>
        <v/>
      </c>
      <c r="L32" s="7" t="str">
        <f>CONCATENATE("14 14.1 3a")</f>
        <v>14 14.1 3a</v>
      </c>
      <c r="M32" s="7" t="str">
        <f>CONCATENATE("NGLGNN90P20B474S")</f>
        <v>NGLGNN90P20B474S</v>
      </c>
      <c r="N32" s="7" t="s">
        <v>71</v>
      </c>
      <c r="O32" s="7" t="s">
        <v>72</v>
      </c>
      <c r="P32" s="8">
        <v>44488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7">
        <v>702.97</v>
      </c>
      <c r="W32" s="7">
        <v>303.12</v>
      </c>
      <c r="X32" s="7">
        <v>279.92</v>
      </c>
      <c r="Y32" s="7">
        <v>0</v>
      </c>
      <c r="Z32" s="7">
        <v>119.93</v>
      </c>
    </row>
    <row r="33" spans="1:26" x14ac:dyDescent="0.35">
      <c r="A33" s="7" t="s">
        <v>27</v>
      </c>
      <c r="B33" s="7" t="s">
        <v>28</v>
      </c>
      <c r="C33" s="7" t="s">
        <v>43</v>
      </c>
      <c r="D33" s="7" t="s">
        <v>73</v>
      </c>
      <c r="E33" s="7" t="s">
        <v>29</v>
      </c>
      <c r="F33" s="7" t="s">
        <v>29</v>
      </c>
      <c r="G33" s="7">
        <v>2017</v>
      </c>
      <c r="H33" s="7" t="str">
        <f>CONCATENATE("14270264543")</f>
        <v>14270264543</v>
      </c>
      <c r="I33" s="7" t="s">
        <v>30</v>
      </c>
      <c r="J33" s="7" t="s">
        <v>31</v>
      </c>
      <c r="K33" s="7" t="str">
        <f>CONCATENATE("")</f>
        <v/>
      </c>
      <c r="L33" s="7" t="str">
        <f>CONCATENATE("1 1.1 2a")</f>
        <v>1 1.1 2a</v>
      </c>
      <c r="M33" s="7" t="str">
        <f>CONCATENATE("02051370423")</f>
        <v>02051370423</v>
      </c>
      <c r="N33" s="7" t="s">
        <v>74</v>
      </c>
      <c r="O33" s="7" t="s">
        <v>75</v>
      </c>
      <c r="P33" s="8">
        <v>44483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4752</v>
      </c>
      <c r="W33" s="9">
        <v>2049.06</v>
      </c>
      <c r="X33" s="9">
        <v>1892.25</v>
      </c>
      <c r="Y33" s="7">
        <v>0</v>
      </c>
      <c r="Z33" s="7">
        <v>810.69</v>
      </c>
    </row>
    <row r="34" spans="1:26" ht="17.5" x14ac:dyDescent="0.35">
      <c r="A34" s="7" t="s">
        <v>27</v>
      </c>
      <c r="B34" s="7" t="s">
        <v>28</v>
      </c>
      <c r="C34" s="7" t="s">
        <v>43</v>
      </c>
      <c r="D34" s="7" t="s">
        <v>73</v>
      </c>
      <c r="E34" s="7" t="s">
        <v>36</v>
      </c>
      <c r="F34" s="7" t="s">
        <v>76</v>
      </c>
      <c r="G34" s="7">
        <v>2017</v>
      </c>
      <c r="H34" s="7" t="str">
        <f>CONCATENATE("14270269674")</f>
        <v>14270269674</v>
      </c>
      <c r="I34" s="7" t="s">
        <v>30</v>
      </c>
      <c r="J34" s="7" t="s">
        <v>31</v>
      </c>
      <c r="K34" s="7" t="str">
        <f>CONCATENATE("")</f>
        <v/>
      </c>
      <c r="L34" s="7" t="str">
        <f>CONCATENATE("4 4.1 2a")</f>
        <v>4 4.1 2a</v>
      </c>
      <c r="M34" s="7" t="str">
        <f>CONCATENATE("01511110445")</f>
        <v>01511110445</v>
      </c>
      <c r="N34" s="7" t="s">
        <v>77</v>
      </c>
      <c r="O34" s="7" t="s">
        <v>78</v>
      </c>
      <c r="P34" s="8">
        <v>44480</v>
      </c>
      <c r="Q34" s="7" t="s">
        <v>32</v>
      </c>
      <c r="R34" s="7" t="s">
        <v>42</v>
      </c>
      <c r="S34" s="7" t="s">
        <v>34</v>
      </c>
      <c r="T34" s="7"/>
      <c r="U34" s="7" t="s">
        <v>35</v>
      </c>
      <c r="V34" s="9">
        <v>318221.95</v>
      </c>
      <c r="W34" s="9">
        <v>137217.29999999999</v>
      </c>
      <c r="X34" s="9">
        <v>126715.98</v>
      </c>
      <c r="Y34" s="7">
        <v>0</v>
      </c>
      <c r="Z34" s="9">
        <v>54288.67</v>
      </c>
    </row>
    <row r="35" spans="1:26" x14ac:dyDescent="0.35">
      <c r="A35" s="7" t="s">
        <v>27</v>
      </c>
      <c r="B35" s="7" t="s">
        <v>28</v>
      </c>
      <c r="C35" s="7" t="s">
        <v>43</v>
      </c>
      <c r="D35" s="7" t="s">
        <v>43</v>
      </c>
      <c r="E35" s="7" t="s">
        <v>29</v>
      </c>
      <c r="F35" s="7" t="s">
        <v>29</v>
      </c>
      <c r="G35" s="7">
        <v>2017</v>
      </c>
      <c r="H35" s="7" t="str">
        <f>CONCATENATE("14270276877")</f>
        <v>14270276877</v>
      </c>
      <c r="I35" s="7" t="s">
        <v>30</v>
      </c>
      <c r="J35" s="7" t="s">
        <v>31</v>
      </c>
      <c r="K35" s="7" t="str">
        <f>CONCATENATE("")</f>
        <v/>
      </c>
      <c r="L35" s="7" t="str">
        <f>CONCATENATE("19 19.2 6b")</f>
        <v>19 19.2 6b</v>
      </c>
      <c r="M35" s="7" t="str">
        <f>CONCATENATE("00210940433")</f>
        <v>00210940433</v>
      </c>
      <c r="N35" s="7" t="s">
        <v>79</v>
      </c>
      <c r="O35" s="7" t="s">
        <v>80</v>
      </c>
      <c r="P35" s="8">
        <v>44488</v>
      </c>
      <c r="Q35" s="7" t="s">
        <v>32</v>
      </c>
      <c r="R35" s="7" t="s">
        <v>42</v>
      </c>
      <c r="S35" s="7" t="s">
        <v>34</v>
      </c>
      <c r="T35" s="7"/>
      <c r="U35" s="7" t="s">
        <v>35</v>
      </c>
      <c r="V35" s="9">
        <v>42899.62</v>
      </c>
      <c r="W35" s="9">
        <v>18498.32</v>
      </c>
      <c r="X35" s="9">
        <v>17082.63</v>
      </c>
      <c r="Y35" s="7">
        <v>0</v>
      </c>
      <c r="Z35" s="9">
        <v>7318.67</v>
      </c>
    </row>
    <row r="36" spans="1:26" x14ac:dyDescent="0.35">
      <c r="A36" s="7" t="s">
        <v>27</v>
      </c>
      <c r="B36" s="7" t="s">
        <v>28</v>
      </c>
      <c r="C36" s="7" t="s">
        <v>43</v>
      </c>
      <c r="D36" s="7" t="s">
        <v>48</v>
      </c>
      <c r="E36" s="7" t="s">
        <v>29</v>
      </c>
      <c r="F36" s="7" t="s">
        <v>29</v>
      </c>
      <c r="G36" s="7">
        <v>2017</v>
      </c>
      <c r="H36" s="7" t="str">
        <f>CONCATENATE("14270269740")</f>
        <v>14270269740</v>
      </c>
      <c r="I36" s="7" t="s">
        <v>30</v>
      </c>
      <c r="J36" s="7" t="s">
        <v>31</v>
      </c>
      <c r="K36" s="7" t="str">
        <f>CONCATENATE("")</f>
        <v/>
      </c>
      <c r="L36" s="7" t="str">
        <f>CONCATENATE("4 4.3 2a")</f>
        <v>4 4.3 2a</v>
      </c>
      <c r="M36" s="7" t="str">
        <f>CONCATENATE("01874180431")</f>
        <v>01874180431</v>
      </c>
      <c r="N36" s="7" t="s">
        <v>62</v>
      </c>
      <c r="O36" s="7" t="s">
        <v>81</v>
      </c>
      <c r="P36" s="8">
        <v>44489</v>
      </c>
      <c r="Q36" s="7" t="s">
        <v>32</v>
      </c>
      <c r="R36" s="7" t="s">
        <v>42</v>
      </c>
      <c r="S36" s="7" t="s">
        <v>34</v>
      </c>
      <c r="T36" s="7"/>
      <c r="U36" s="7" t="s">
        <v>35</v>
      </c>
      <c r="V36" s="9">
        <v>7585.72</v>
      </c>
      <c r="W36" s="9">
        <v>3270.96</v>
      </c>
      <c r="X36" s="9">
        <v>3020.63</v>
      </c>
      <c r="Y36" s="7">
        <v>0</v>
      </c>
      <c r="Z36" s="9">
        <v>1294.1300000000001</v>
      </c>
    </row>
    <row r="37" spans="1:26" x14ac:dyDescent="0.35">
      <c r="A37" s="7" t="s">
        <v>27</v>
      </c>
      <c r="B37" s="7" t="s">
        <v>28</v>
      </c>
      <c r="C37" s="7" t="s">
        <v>43</v>
      </c>
      <c r="D37" s="7" t="s">
        <v>48</v>
      </c>
      <c r="E37" s="7" t="s">
        <v>29</v>
      </c>
      <c r="F37" s="7" t="s">
        <v>29</v>
      </c>
      <c r="G37" s="7">
        <v>2017</v>
      </c>
      <c r="H37" s="7" t="str">
        <f>CONCATENATE("14270269757")</f>
        <v>14270269757</v>
      </c>
      <c r="I37" s="7" t="s">
        <v>30</v>
      </c>
      <c r="J37" s="7" t="s">
        <v>31</v>
      </c>
      <c r="K37" s="7" t="str">
        <f>CONCATENATE("")</f>
        <v/>
      </c>
      <c r="L37" s="7" t="str">
        <f>CONCATENATE("4 4.3 2a")</f>
        <v>4 4.3 2a</v>
      </c>
      <c r="M37" s="7" t="str">
        <f>CONCATENATE("01874180431")</f>
        <v>01874180431</v>
      </c>
      <c r="N37" s="7" t="s">
        <v>62</v>
      </c>
      <c r="O37" s="7" t="s">
        <v>81</v>
      </c>
      <c r="P37" s="8">
        <v>44489</v>
      </c>
      <c r="Q37" s="7" t="s">
        <v>32</v>
      </c>
      <c r="R37" s="7" t="s">
        <v>42</v>
      </c>
      <c r="S37" s="7" t="s">
        <v>34</v>
      </c>
      <c r="T37" s="7"/>
      <c r="U37" s="7" t="s">
        <v>35</v>
      </c>
      <c r="V37" s="9">
        <v>21621.91</v>
      </c>
      <c r="W37" s="9">
        <v>9323.3700000000008</v>
      </c>
      <c r="X37" s="9">
        <v>8609.84</v>
      </c>
      <c r="Y37" s="7">
        <v>0</v>
      </c>
      <c r="Z37" s="9">
        <v>3688.7</v>
      </c>
    </row>
    <row r="38" spans="1:26" x14ac:dyDescent="0.35">
      <c r="A38" s="7" t="s">
        <v>27</v>
      </c>
      <c r="B38" s="7" t="s">
        <v>28</v>
      </c>
      <c r="C38" s="7" t="s">
        <v>43</v>
      </c>
      <c r="D38" s="7" t="s">
        <v>48</v>
      </c>
      <c r="E38" s="7" t="s">
        <v>29</v>
      </c>
      <c r="F38" s="7" t="s">
        <v>29</v>
      </c>
      <c r="G38" s="7">
        <v>2017</v>
      </c>
      <c r="H38" s="7" t="str">
        <f>CONCATENATE("14270269765")</f>
        <v>14270269765</v>
      </c>
      <c r="I38" s="7" t="s">
        <v>30</v>
      </c>
      <c r="J38" s="7" t="s">
        <v>31</v>
      </c>
      <c r="K38" s="7" t="str">
        <f>CONCATENATE("")</f>
        <v/>
      </c>
      <c r="L38" s="7" t="str">
        <f>CONCATENATE("4 4.3 2a")</f>
        <v>4 4.3 2a</v>
      </c>
      <c r="M38" s="7" t="str">
        <f>CONCATENATE("01874180431")</f>
        <v>01874180431</v>
      </c>
      <c r="N38" s="7" t="s">
        <v>62</v>
      </c>
      <c r="O38" s="7" t="s">
        <v>81</v>
      </c>
      <c r="P38" s="8">
        <v>44489</v>
      </c>
      <c r="Q38" s="7" t="s">
        <v>32</v>
      </c>
      <c r="R38" s="7" t="s">
        <v>42</v>
      </c>
      <c r="S38" s="7" t="s">
        <v>34</v>
      </c>
      <c r="T38" s="7"/>
      <c r="U38" s="7" t="s">
        <v>35</v>
      </c>
      <c r="V38" s="9">
        <v>16509.55</v>
      </c>
      <c r="W38" s="9">
        <v>7118.92</v>
      </c>
      <c r="X38" s="9">
        <v>6574.1</v>
      </c>
      <c r="Y38" s="7">
        <v>0</v>
      </c>
      <c r="Z38" s="9">
        <v>2816.53</v>
      </c>
    </row>
    <row r="39" spans="1:26" x14ac:dyDescent="0.35">
      <c r="A39" s="7" t="s">
        <v>27</v>
      </c>
      <c r="B39" s="7" t="s">
        <v>28</v>
      </c>
      <c r="C39" s="7" t="s">
        <v>43</v>
      </c>
      <c r="D39" s="7" t="s">
        <v>67</v>
      </c>
      <c r="E39" s="7" t="s">
        <v>29</v>
      </c>
      <c r="F39" s="7" t="s">
        <v>29</v>
      </c>
      <c r="G39" s="7">
        <v>2017</v>
      </c>
      <c r="H39" s="7" t="str">
        <f>CONCATENATE("14270283121")</f>
        <v>14270283121</v>
      </c>
      <c r="I39" s="7" t="s">
        <v>30</v>
      </c>
      <c r="J39" s="7" t="s">
        <v>31</v>
      </c>
      <c r="K39" s="7" t="str">
        <f>CONCATENATE("")</f>
        <v/>
      </c>
      <c r="L39" s="7" t="str">
        <f>CONCATENATE("19 19.4 6b")</f>
        <v>19 19.4 6b</v>
      </c>
      <c r="M39" s="7" t="str">
        <f>CONCATENATE("01502360447")</f>
        <v>01502360447</v>
      </c>
      <c r="N39" s="7" t="s">
        <v>82</v>
      </c>
      <c r="O39" s="7" t="s">
        <v>83</v>
      </c>
      <c r="P39" s="8">
        <v>44489</v>
      </c>
      <c r="Q39" s="7" t="s">
        <v>32</v>
      </c>
      <c r="R39" s="7" t="s">
        <v>40</v>
      </c>
      <c r="S39" s="7" t="s">
        <v>34</v>
      </c>
      <c r="T39" s="7"/>
      <c r="U39" s="7" t="s">
        <v>35</v>
      </c>
      <c r="V39" s="9">
        <v>135575.94</v>
      </c>
      <c r="W39" s="9">
        <v>58460.35</v>
      </c>
      <c r="X39" s="9">
        <v>53986.34</v>
      </c>
      <c r="Y39" s="7">
        <v>0</v>
      </c>
      <c r="Z39" s="9">
        <v>23129.25</v>
      </c>
    </row>
    <row r="40" spans="1:26" x14ac:dyDescent="0.35">
      <c r="A40" s="7" t="s">
        <v>27</v>
      </c>
      <c r="B40" s="7" t="s">
        <v>28</v>
      </c>
      <c r="C40" s="7" t="s">
        <v>43</v>
      </c>
      <c r="D40" s="7" t="s">
        <v>73</v>
      </c>
      <c r="E40" s="7" t="s">
        <v>29</v>
      </c>
      <c r="F40" s="7" t="s">
        <v>29</v>
      </c>
      <c r="G40" s="7">
        <v>2017</v>
      </c>
      <c r="H40" s="7" t="str">
        <f>CONCATENATE("14270222368")</f>
        <v>14270222368</v>
      </c>
      <c r="I40" s="7" t="s">
        <v>30</v>
      </c>
      <c r="J40" s="7" t="s">
        <v>31</v>
      </c>
      <c r="K40" s="7" t="str">
        <f>CONCATENATE("")</f>
        <v/>
      </c>
      <c r="L40" s="7" t="str">
        <f>CONCATENATE("4 4.3 2a")</f>
        <v>4 4.3 2a</v>
      </c>
      <c r="M40" s="7" t="str">
        <f>CONCATENATE("01874180431")</f>
        <v>01874180431</v>
      </c>
      <c r="N40" s="7" t="s">
        <v>62</v>
      </c>
      <c r="O40" s="7" t="s">
        <v>84</v>
      </c>
      <c r="P40" s="8">
        <v>44488</v>
      </c>
      <c r="Q40" s="7" t="s">
        <v>32</v>
      </c>
      <c r="R40" s="7" t="s">
        <v>42</v>
      </c>
      <c r="S40" s="7" t="s">
        <v>34</v>
      </c>
      <c r="T40" s="7"/>
      <c r="U40" s="7" t="s">
        <v>35</v>
      </c>
      <c r="V40" s="9">
        <v>21118.51</v>
      </c>
      <c r="W40" s="9">
        <v>9106.2999999999993</v>
      </c>
      <c r="X40" s="9">
        <v>8409.39</v>
      </c>
      <c r="Y40" s="7">
        <v>0</v>
      </c>
      <c r="Z40" s="9">
        <v>3602.82</v>
      </c>
    </row>
    <row r="41" spans="1:26" x14ac:dyDescent="0.35">
      <c r="A41" s="7" t="s">
        <v>27</v>
      </c>
      <c r="B41" s="7" t="s">
        <v>28</v>
      </c>
      <c r="C41" s="7" t="s">
        <v>43</v>
      </c>
      <c r="D41" s="7" t="s">
        <v>73</v>
      </c>
      <c r="E41" s="7" t="s">
        <v>29</v>
      </c>
      <c r="F41" s="7" t="s">
        <v>29</v>
      </c>
      <c r="G41" s="7">
        <v>2017</v>
      </c>
      <c r="H41" s="7" t="str">
        <f>CONCATENATE("14270222400")</f>
        <v>14270222400</v>
      </c>
      <c r="I41" s="7" t="s">
        <v>30</v>
      </c>
      <c r="J41" s="7" t="s">
        <v>31</v>
      </c>
      <c r="K41" s="7" t="str">
        <f>CONCATENATE("")</f>
        <v/>
      </c>
      <c r="L41" s="7" t="str">
        <f>CONCATENATE("4 4.3 2a")</f>
        <v>4 4.3 2a</v>
      </c>
      <c r="M41" s="7" t="str">
        <f>CONCATENATE("01874180431")</f>
        <v>01874180431</v>
      </c>
      <c r="N41" s="7" t="s">
        <v>62</v>
      </c>
      <c r="O41" s="7" t="s">
        <v>84</v>
      </c>
      <c r="P41" s="8">
        <v>44488</v>
      </c>
      <c r="Q41" s="7" t="s">
        <v>32</v>
      </c>
      <c r="R41" s="7" t="s">
        <v>42</v>
      </c>
      <c r="S41" s="7" t="s">
        <v>34</v>
      </c>
      <c r="T41" s="7"/>
      <c r="U41" s="7" t="s">
        <v>35</v>
      </c>
      <c r="V41" s="9">
        <v>13749.22</v>
      </c>
      <c r="W41" s="9">
        <v>5928.66</v>
      </c>
      <c r="X41" s="9">
        <v>5474.94</v>
      </c>
      <c r="Y41" s="7">
        <v>0</v>
      </c>
      <c r="Z41" s="9">
        <v>2345.62</v>
      </c>
    </row>
    <row r="42" spans="1:26" x14ac:dyDescent="0.35">
      <c r="A42" s="7" t="s">
        <v>27</v>
      </c>
      <c r="B42" s="7" t="s">
        <v>28</v>
      </c>
      <c r="C42" s="7" t="s">
        <v>43</v>
      </c>
      <c r="D42" s="7" t="s">
        <v>73</v>
      </c>
      <c r="E42" s="7" t="s">
        <v>29</v>
      </c>
      <c r="F42" s="7" t="s">
        <v>29</v>
      </c>
      <c r="G42" s="7">
        <v>2017</v>
      </c>
      <c r="H42" s="7" t="str">
        <f>CONCATENATE("14270222418")</f>
        <v>14270222418</v>
      </c>
      <c r="I42" s="7" t="s">
        <v>30</v>
      </c>
      <c r="J42" s="7" t="s">
        <v>31</v>
      </c>
      <c r="K42" s="7" t="str">
        <f>CONCATENATE("")</f>
        <v/>
      </c>
      <c r="L42" s="7" t="str">
        <f>CONCATENATE("4 4.3 2a")</f>
        <v>4 4.3 2a</v>
      </c>
      <c r="M42" s="7" t="str">
        <f>CONCATENATE("01874180431")</f>
        <v>01874180431</v>
      </c>
      <c r="N42" s="7" t="s">
        <v>62</v>
      </c>
      <c r="O42" s="7" t="s">
        <v>84</v>
      </c>
      <c r="P42" s="8">
        <v>44488</v>
      </c>
      <c r="Q42" s="7" t="s">
        <v>32</v>
      </c>
      <c r="R42" s="7" t="s">
        <v>42</v>
      </c>
      <c r="S42" s="7" t="s">
        <v>34</v>
      </c>
      <c r="T42" s="7"/>
      <c r="U42" s="7" t="s">
        <v>35</v>
      </c>
      <c r="V42" s="9">
        <v>15683.66</v>
      </c>
      <c r="W42" s="9">
        <v>6762.79</v>
      </c>
      <c r="X42" s="9">
        <v>6245.23</v>
      </c>
      <c r="Y42" s="7">
        <v>0</v>
      </c>
      <c r="Z42" s="9">
        <v>2675.64</v>
      </c>
    </row>
    <row r="43" spans="1:26" x14ac:dyDescent="0.35">
      <c r="A43" s="7" t="s">
        <v>27</v>
      </c>
      <c r="B43" s="7" t="s">
        <v>28</v>
      </c>
      <c r="C43" s="7" t="s">
        <v>43</v>
      </c>
      <c r="D43" s="7" t="s">
        <v>73</v>
      </c>
      <c r="E43" s="7" t="s">
        <v>29</v>
      </c>
      <c r="F43" s="7" t="s">
        <v>29</v>
      </c>
      <c r="G43" s="7">
        <v>2017</v>
      </c>
      <c r="H43" s="7" t="str">
        <f>CONCATENATE("14270222376")</f>
        <v>14270222376</v>
      </c>
      <c r="I43" s="7" t="s">
        <v>30</v>
      </c>
      <c r="J43" s="7" t="s">
        <v>31</v>
      </c>
      <c r="K43" s="7" t="str">
        <f>CONCATENATE("")</f>
        <v/>
      </c>
      <c r="L43" s="7" t="str">
        <f>CONCATENATE("4 4.3 2a")</f>
        <v>4 4.3 2a</v>
      </c>
      <c r="M43" s="7" t="str">
        <f>CONCATENATE("01874180431")</f>
        <v>01874180431</v>
      </c>
      <c r="N43" s="7" t="s">
        <v>62</v>
      </c>
      <c r="O43" s="7" t="s">
        <v>84</v>
      </c>
      <c r="P43" s="8">
        <v>44488</v>
      </c>
      <c r="Q43" s="7" t="s">
        <v>32</v>
      </c>
      <c r="R43" s="7" t="s">
        <v>42</v>
      </c>
      <c r="S43" s="7" t="s">
        <v>34</v>
      </c>
      <c r="T43" s="7"/>
      <c r="U43" s="7" t="s">
        <v>35</v>
      </c>
      <c r="V43" s="9">
        <v>46887.65</v>
      </c>
      <c r="W43" s="9">
        <v>20217.95</v>
      </c>
      <c r="X43" s="9">
        <v>18670.66</v>
      </c>
      <c r="Y43" s="7">
        <v>0</v>
      </c>
      <c r="Z43" s="9">
        <v>7999.04</v>
      </c>
    </row>
    <row r="44" spans="1:26" x14ac:dyDescent="0.35">
      <c r="A44" s="7" t="s">
        <v>27</v>
      </c>
      <c r="B44" s="7" t="s">
        <v>28</v>
      </c>
      <c r="C44" s="7" t="s">
        <v>43</v>
      </c>
      <c r="D44" s="7" t="s">
        <v>73</v>
      </c>
      <c r="E44" s="7" t="s">
        <v>29</v>
      </c>
      <c r="F44" s="7" t="s">
        <v>29</v>
      </c>
      <c r="G44" s="7">
        <v>2017</v>
      </c>
      <c r="H44" s="7" t="str">
        <f>CONCATENATE("14270222384")</f>
        <v>14270222384</v>
      </c>
      <c r="I44" s="7" t="s">
        <v>30</v>
      </c>
      <c r="J44" s="7" t="s">
        <v>31</v>
      </c>
      <c r="K44" s="7" t="str">
        <f>CONCATENATE("")</f>
        <v/>
      </c>
      <c r="L44" s="7" t="str">
        <f>CONCATENATE("4 4.3 2a")</f>
        <v>4 4.3 2a</v>
      </c>
      <c r="M44" s="7" t="str">
        <f>CONCATENATE("01874180431")</f>
        <v>01874180431</v>
      </c>
      <c r="N44" s="7" t="s">
        <v>62</v>
      </c>
      <c r="O44" s="7" t="s">
        <v>84</v>
      </c>
      <c r="P44" s="8">
        <v>44488</v>
      </c>
      <c r="Q44" s="7" t="s">
        <v>32</v>
      </c>
      <c r="R44" s="7" t="s">
        <v>42</v>
      </c>
      <c r="S44" s="7" t="s">
        <v>34</v>
      </c>
      <c r="T44" s="7"/>
      <c r="U44" s="7" t="s">
        <v>35</v>
      </c>
      <c r="V44" s="9">
        <v>17685.21</v>
      </c>
      <c r="W44" s="9">
        <v>7625.86</v>
      </c>
      <c r="X44" s="9">
        <v>7042.25</v>
      </c>
      <c r="Y44" s="7">
        <v>0</v>
      </c>
      <c r="Z44" s="9">
        <v>3017.1</v>
      </c>
    </row>
    <row r="45" spans="1:26" x14ac:dyDescent="0.35">
      <c r="A45" s="7" t="s">
        <v>27</v>
      </c>
      <c r="B45" s="7" t="s">
        <v>28</v>
      </c>
      <c r="C45" s="7" t="s">
        <v>43</v>
      </c>
      <c r="D45" s="7" t="s">
        <v>73</v>
      </c>
      <c r="E45" s="7" t="s">
        <v>29</v>
      </c>
      <c r="F45" s="7" t="s">
        <v>29</v>
      </c>
      <c r="G45" s="7">
        <v>2017</v>
      </c>
      <c r="H45" s="7" t="str">
        <f>CONCATENATE("14270222392")</f>
        <v>14270222392</v>
      </c>
      <c r="I45" s="7" t="s">
        <v>30</v>
      </c>
      <c r="J45" s="7" t="s">
        <v>31</v>
      </c>
      <c r="K45" s="7" t="str">
        <f>CONCATENATE("")</f>
        <v/>
      </c>
      <c r="L45" s="7" t="str">
        <f>CONCATENATE("4 4.3 2a")</f>
        <v>4 4.3 2a</v>
      </c>
      <c r="M45" s="7" t="str">
        <f>CONCATENATE("01874180431")</f>
        <v>01874180431</v>
      </c>
      <c r="N45" s="7" t="s">
        <v>62</v>
      </c>
      <c r="O45" s="7" t="s">
        <v>84</v>
      </c>
      <c r="P45" s="8">
        <v>44488</v>
      </c>
      <c r="Q45" s="7" t="s">
        <v>32</v>
      </c>
      <c r="R45" s="7" t="s">
        <v>42</v>
      </c>
      <c r="S45" s="7" t="s">
        <v>34</v>
      </c>
      <c r="T45" s="7"/>
      <c r="U45" s="7" t="s">
        <v>35</v>
      </c>
      <c r="V45" s="9">
        <v>12004.89</v>
      </c>
      <c r="W45" s="9">
        <v>5176.51</v>
      </c>
      <c r="X45" s="9">
        <v>4780.3500000000004</v>
      </c>
      <c r="Y45" s="7">
        <v>0</v>
      </c>
      <c r="Z45" s="9">
        <v>2048.0300000000002</v>
      </c>
    </row>
    <row r="46" spans="1:26" x14ac:dyDescent="0.35">
      <c r="A46" s="7" t="s">
        <v>27</v>
      </c>
      <c r="B46" s="7" t="s">
        <v>28</v>
      </c>
      <c r="C46" s="7" t="s">
        <v>43</v>
      </c>
      <c r="D46" s="7" t="s">
        <v>73</v>
      </c>
      <c r="E46" s="7" t="s">
        <v>29</v>
      </c>
      <c r="F46" s="7" t="s">
        <v>29</v>
      </c>
      <c r="G46" s="7">
        <v>2017</v>
      </c>
      <c r="H46" s="7" t="str">
        <f>CONCATENATE("14270222350")</f>
        <v>14270222350</v>
      </c>
      <c r="I46" s="7" t="s">
        <v>30</v>
      </c>
      <c r="J46" s="7" t="s">
        <v>31</v>
      </c>
      <c r="K46" s="7" t="str">
        <f>CONCATENATE("")</f>
        <v/>
      </c>
      <c r="L46" s="7" t="str">
        <f>CONCATENATE("4 4.3 2a")</f>
        <v>4 4.3 2a</v>
      </c>
      <c r="M46" s="7" t="str">
        <f>CONCATENATE("01874180431")</f>
        <v>01874180431</v>
      </c>
      <c r="N46" s="7" t="s">
        <v>62</v>
      </c>
      <c r="O46" s="7" t="s">
        <v>84</v>
      </c>
      <c r="P46" s="8">
        <v>44488</v>
      </c>
      <c r="Q46" s="7" t="s">
        <v>32</v>
      </c>
      <c r="R46" s="7" t="s">
        <v>42</v>
      </c>
      <c r="S46" s="7" t="s">
        <v>34</v>
      </c>
      <c r="T46" s="7"/>
      <c r="U46" s="7" t="s">
        <v>35</v>
      </c>
      <c r="V46" s="9">
        <v>10379.17</v>
      </c>
      <c r="W46" s="9">
        <v>4475.5</v>
      </c>
      <c r="X46" s="9">
        <v>4132.99</v>
      </c>
      <c r="Y46" s="7">
        <v>0</v>
      </c>
      <c r="Z46" s="9">
        <v>1770.68</v>
      </c>
    </row>
    <row r="47" spans="1:26" x14ac:dyDescent="0.35">
      <c r="A47" s="7" t="s">
        <v>27</v>
      </c>
      <c r="B47" s="7" t="s">
        <v>28</v>
      </c>
      <c r="C47" s="7" t="s">
        <v>43</v>
      </c>
      <c r="D47" s="7" t="s">
        <v>73</v>
      </c>
      <c r="E47" s="7" t="s">
        <v>29</v>
      </c>
      <c r="F47" s="7" t="s">
        <v>29</v>
      </c>
      <c r="G47" s="7">
        <v>2017</v>
      </c>
      <c r="H47" s="7" t="str">
        <f>CONCATENATE("14270222426")</f>
        <v>14270222426</v>
      </c>
      <c r="I47" s="7" t="s">
        <v>30</v>
      </c>
      <c r="J47" s="7" t="s">
        <v>31</v>
      </c>
      <c r="K47" s="7" t="str">
        <f>CONCATENATE("")</f>
        <v/>
      </c>
      <c r="L47" s="7" t="str">
        <f>CONCATENATE("4 4.3 2a")</f>
        <v>4 4.3 2a</v>
      </c>
      <c r="M47" s="7" t="str">
        <f>CONCATENATE("01874180431")</f>
        <v>01874180431</v>
      </c>
      <c r="N47" s="7" t="s">
        <v>62</v>
      </c>
      <c r="O47" s="7" t="s">
        <v>84</v>
      </c>
      <c r="P47" s="8">
        <v>44488</v>
      </c>
      <c r="Q47" s="7" t="s">
        <v>32</v>
      </c>
      <c r="R47" s="7" t="s">
        <v>42</v>
      </c>
      <c r="S47" s="7" t="s">
        <v>34</v>
      </c>
      <c r="T47" s="7"/>
      <c r="U47" s="7" t="s">
        <v>35</v>
      </c>
      <c r="V47" s="9">
        <v>45088.06</v>
      </c>
      <c r="W47" s="9">
        <v>19441.97</v>
      </c>
      <c r="X47" s="9">
        <v>17954.07</v>
      </c>
      <c r="Y47" s="7">
        <v>0</v>
      </c>
      <c r="Z47" s="9">
        <v>7692.02</v>
      </c>
    </row>
    <row r="48" spans="1:26" x14ac:dyDescent="0.35">
      <c r="A48" s="7" t="s">
        <v>27</v>
      </c>
      <c r="B48" s="7" t="s">
        <v>28</v>
      </c>
      <c r="C48" s="7" t="s">
        <v>43</v>
      </c>
      <c r="D48" s="7" t="s">
        <v>43</v>
      </c>
      <c r="E48" s="7" t="s">
        <v>29</v>
      </c>
      <c r="F48" s="7" t="s">
        <v>29</v>
      </c>
      <c r="G48" s="7">
        <v>2017</v>
      </c>
      <c r="H48" s="7" t="str">
        <f>CONCATENATE("14270217442")</f>
        <v>14270217442</v>
      </c>
      <c r="I48" s="7" t="s">
        <v>30</v>
      </c>
      <c r="J48" s="7" t="s">
        <v>31</v>
      </c>
      <c r="K48" s="7" t="str">
        <f>CONCATENATE("")</f>
        <v/>
      </c>
      <c r="L48" s="7" t="str">
        <f>CONCATENATE("19 19.2 6b")</f>
        <v>19 19.2 6b</v>
      </c>
      <c r="M48" s="7" t="str">
        <f>CONCATENATE("82001930419")</f>
        <v>82001930419</v>
      </c>
      <c r="N48" s="7" t="s">
        <v>57</v>
      </c>
      <c r="O48" s="7" t="s">
        <v>85</v>
      </c>
      <c r="P48" s="8">
        <v>44488</v>
      </c>
      <c r="Q48" s="7" t="s">
        <v>32</v>
      </c>
      <c r="R48" s="7" t="s">
        <v>42</v>
      </c>
      <c r="S48" s="7" t="s">
        <v>34</v>
      </c>
      <c r="T48" s="7"/>
      <c r="U48" s="7" t="s">
        <v>35</v>
      </c>
      <c r="V48" s="9">
        <v>39707.25</v>
      </c>
      <c r="W48" s="9">
        <v>17121.77</v>
      </c>
      <c r="X48" s="9">
        <v>15811.43</v>
      </c>
      <c r="Y48" s="7">
        <v>0</v>
      </c>
      <c r="Z48" s="9">
        <v>6774.05</v>
      </c>
    </row>
    <row r="49" spans="1:26" x14ac:dyDescent="0.35">
      <c r="A49" s="7" t="s">
        <v>27</v>
      </c>
      <c r="B49" s="7" t="s">
        <v>28</v>
      </c>
      <c r="C49" s="7" t="s">
        <v>43</v>
      </c>
      <c r="D49" s="7" t="s">
        <v>73</v>
      </c>
      <c r="E49" s="7" t="s">
        <v>29</v>
      </c>
      <c r="F49" s="7" t="s">
        <v>29</v>
      </c>
      <c r="G49" s="7">
        <v>2017</v>
      </c>
      <c r="H49" s="7" t="str">
        <f>CONCATENATE("14270264550")</f>
        <v>14270264550</v>
      </c>
      <c r="I49" s="7" t="s">
        <v>30</v>
      </c>
      <c r="J49" s="7" t="s">
        <v>31</v>
      </c>
      <c r="K49" s="7" t="str">
        <f>CONCATENATE("")</f>
        <v/>
      </c>
      <c r="L49" s="7" t="str">
        <f>CONCATENATE("1 1.1 2a")</f>
        <v>1 1.1 2a</v>
      </c>
      <c r="M49" s="7" t="str">
        <f>CONCATENATE("02051370423")</f>
        <v>02051370423</v>
      </c>
      <c r="N49" s="7" t="s">
        <v>74</v>
      </c>
      <c r="O49" s="7" t="s">
        <v>86</v>
      </c>
      <c r="P49" s="8">
        <v>44483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3361.05</v>
      </c>
      <c r="W49" s="9">
        <v>1449.28</v>
      </c>
      <c r="X49" s="9">
        <v>1338.37</v>
      </c>
      <c r="Y49" s="7">
        <v>0</v>
      </c>
      <c r="Z49" s="7">
        <v>573.4</v>
      </c>
    </row>
    <row r="50" spans="1:26" x14ac:dyDescent="0.35">
      <c r="A50" s="7" t="s">
        <v>27</v>
      </c>
      <c r="B50" s="7" t="s">
        <v>28</v>
      </c>
      <c r="C50" s="7" t="s">
        <v>43</v>
      </c>
      <c r="D50" s="7" t="s">
        <v>43</v>
      </c>
      <c r="E50" s="7" t="s">
        <v>37</v>
      </c>
      <c r="F50" s="7" t="s">
        <v>87</v>
      </c>
      <c r="G50" s="7">
        <v>2017</v>
      </c>
      <c r="H50" s="7" t="str">
        <f>CONCATENATE("14270243232")</f>
        <v>14270243232</v>
      </c>
      <c r="I50" s="7" t="s">
        <v>30</v>
      </c>
      <c r="J50" s="7" t="s">
        <v>31</v>
      </c>
      <c r="K50" s="7" t="str">
        <f>CONCATENATE("")</f>
        <v/>
      </c>
      <c r="L50" s="7" t="str">
        <f>CONCATENATE("19 19.2 6b")</f>
        <v>19 19.2 6b</v>
      </c>
      <c r="M50" s="7" t="str">
        <f>CONCATENATE("02820180426")</f>
        <v>02820180426</v>
      </c>
      <c r="N50" s="7" t="s">
        <v>88</v>
      </c>
      <c r="O50" s="7" t="s">
        <v>89</v>
      </c>
      <c r="P50" s="8">
        <v>44483</v>
      </c>
      <c r="Q50" s="7" t="s">
        <v>32</v>
      </c>
      <c r="R50" s="7" t="s">
        <v>40</v>
      </c>
      <c r="S50" s="7" t="s">
        <v>34</v>
      </c>
      <c r="T50" s="7"/>
      <c r="U50" s="7" t="s">
        <v>35</v>
      </c>
      <c r="V50" s="9">
        <v>15000</v>
      </c>
      <c r="W50" s="9">
        <v>6468</v>
      </c>
      <c r="X50" s="9">
        <v>5973</v>
      </c>
      <c r="Y50" s="7">
        <v>0</v>
      </c>
      <c r="Z50" s="9">
        <v>2559</v>
      </c>
    </row>
    <row r="51" spans="1:26" x14ac:dyDescent="0.35">
      <c r="A51" s="7" t="s">
        <v>27</v>
      </c>
      <c r="B51" s="7" t="s">
        <v>28</v>
      </c>
      <c r="C51" s="7" t="s">
        <v>43</v>
      </c>
      <c r="D51" s="7" t="s">
        <v>48</v>
      </c>
      <c r="E51" s="7" t="s">
        <v>38</v>
      </c>
      <c r="F51" s="7" t="s">
        <v>70</v>
      </c>
      <c r="G51" s="7">
        <v>2017</v>
      </c>
      <c r="H51" s="7" t="str">
        <f>CONCATENATE("14270269773")</f>
        <v>14270269773</v>
      </c>
      <c r="I51" s="7" t="s">
        <v>30</v>
      </c>
      <c r="J51" s="7" t="s">
        <v>31</v>
      </c>
      <c r="K51" s="7" t="str">
        <f>CONCATENATE("")</f>
        <v/>
      </c>
      <c r="L51" s="7" t="str">
        <f>CONCATENATE("4 4.3 2a")</f>
        <v>4 4.3 2a</v>
      </c>
      <c r="M51" s="7" t="str">
        <f>CONCATENATE("81000250431")</f>
        <v>81000250431</v>
      </c>
      <c r="N51" s="7" t="s">
        <v>90</v>
      </c>
      <c r="O51" s="7" t="s">
        <v>81</v>
      </c>
      <c r="P51" s="8">
        <v>44489</v>
      </c>
      <c r="Q51" s="7" t="s">
        <v>32</v>
      </c>
      <c r="R51" s="7" t="s">
        <v>42</v>
      </c>
      <c r="S51" s="7" t="s">
        <v>34</v>
      </c>
      <c r="T51" s="7"/>
      <c r="U51" s="7" t="s">
        <v>35</v>
      </c>
      <c r="V51" s="9">
        <v>92926.399999999994</v>
      </c>
      <c r="W51" s="9">
        <v>40069.86</v>
      </c>
      <c r="X51" s="9">
        <v>37003.29</v>
      </c>
      <c r="Y51" s="7">
        <v>0</v>
      </c>
      <c r="Z51" s="9">
        <v>15853.25</v>
      </c>
    </row>
    <row r="52" spans="1:26" x14ac:dyDescent="0.35">
      <c r="A52" s="7" t="s">
        <v>27</v>
      </c>
      <c r="B52" s="7" t="s">
        <v>28</v>
      </c>
      <c r="C52" s="7" t="s">
        <v>43</v>
      </c>
      <c r="D52" s="7" t="s">
        <v>91</v>
      </c>
      <c r="E52" s="7" t="s">
        <v>29</v>
      </c>
      <c r="F52" s="7" t="s">
        <v>29</v>
      </c>
      <c r="G52" s="7">
        <v>2017</v>
      </c>
      <c r="H52" s="7" t="str">
        <f>CONCATENATE("14270215289")</f>
        <v>14270215289</v>
      </c>
      <c r="I52" s="7" t="s">
        <v>30</v>
      </c>
      <c r="J52" s="7" t="s">
        <v>31</v>
      </c>
      <c r="K52" s="7" t="str">
        <f>CONCATENATE("")</f>
        <v/>
      </c>
      <c r="L52" s="7" t="str">
        <f>CONCATENATE("4 4.3 2a")</f>
        <v>4 4.3 2a</v>
      </c>
      <c r="M52" s="7" t="str">
        <f>CONCATENATE("01874180431")</f>
        <v>01874180431</v>
      </c>
      <c r="N52" s="7" t="s">
        <v>62</v>
      </c>
      <c r="O52" s="7" t="s">
        <v>92</v>
      </c>
      <c r="P52" s="8">
        <v>44488</v>
      </c>
      <c r="Q52" s="7" t="s">
        <v>32</v>
      </c>
      <c r="R52" s="7" t="s">
        <v>42</v>
      </c>
      <c r="S52" s="7" t="s">
        <v>34</v>
      </c>
      <c r="T52" s="7"/>
      <c r="U52" s="7" t="s">
        <v>35</v>
      </c>
      <c r="V52" s="9">
        <v>34144.93</v>
      </c>
      <c r="W52" s="9">
        <v>14723.29</v>
      </c>
      <c r="X52" s="9">
        <v>13596.51</v>
      </c>
      <c r="Y52" s="7">
        <v>0</v>
      </c>
      <c r="Z52" s="9">
        <v>5825.13</v>
      </c>
    </row>
    <row r="53" spans="1:26" x14ac:dyDescent="0.35">
      <c r="A53" s="7" t="s">
        <v>27</v>
      </c>
      <c r="B53" s="7" t="s">
        <v>28</v>
      </c>
      <c r="C53" s="7" t="s">
        <v>43</v>
      </c>
      <c r="D53" s="7" t="s">
        <v>91</v>
      </c>
      <c r="E53" s="7" t="s">
        <v>29</v>
      </c>
      <c r="F53" s="7" t="s">
        <v>29</v>
      </c>
      <c r="G53" s="7">
        <v>2017</v>
      </c>
      <c r="H53" s="7" t="str">
        <f>CONCATENATE("14270215305")</f>
        <v>14270215305</v>
      </c>
      <c r="I53" s="7" t="s">
        <v>30</v>
      </c>
      <c r="J53" s="7" t="s">
        <v>31</v>
      </c>
      <c r="K53" s="7" t="str">
        <f>CONCATENATE("")</f>
        <v/>
      </c>
      <c r="L53" s="7" t="str">
        <f>CONCATENATE("4 4.3 2a")</f>
        <v>4 4.3 2a</v>
      </c>
      <c r="M53" s="7" t="str">
        <f>CONCATENATE("01874180431")</f>
        <v>01874180431</v>
      </c>
      <c r="N53" s="7" t="s">
        <v>62</v>
      </c>
      <c r="O53" s="7" t="s">
        <v>92</v>
      </c>
      <c r="P53" s="8">
        <v>44488</v>
      </c>
      <c r="Q53" s="7" t="s">
        <v>32</v>
      </c>
      <c r="R53" s="7" t="s">
        <v>42</v>
      </c>
      <c r="S53" s="7" t="s">
        <v>34</v>
      </c>
      <c r="T53" s="7"/>
      <c r="U53" s="7" t="s">
        <v>35</v>
      </c>
      <c r="V53" s="9">
        <v>42074.19</v>
      </c>
      <c r="W53" s="9">
        <v>18142.39</v>
      </c>
      <c r="X53" s="9">
        <v>16753.939999999999</v>
      </c>
      <c r="Y53" s="7">
        <v>0</v>
      </c>
      <c r="Z53" s="9">
        <v>7177.86</v>
      </c>
    </row>
    <row r="54" spans="1:26" x14ac:dyDescent="0.35">
      <c r="A54" s="7" t="s">
        <v>27</v>
      </c>
      <c r="B54" s="7" t="s">
        <v>28</v>
      </c>
      <c r="C54" s="7" t="s">
        <v>43</v>
      </c>
      <c r="D54" s="7" t="s">
        <v>91</v>
      </c>
      <c r="E54" s="7" t="s">
        <v>29</v>
      </c>
      <c r="F54" s="7" t="s">
        <v>29</v>
      </c>
      <c r="G54" s="7">
        <v>2017</v>
      </c>
      <c r="H54" s="7" t="str">
        <f>CONCATENATE("14270215313")</f>
        <v>14270215313</v>
      </c>
      <c r="I54" s="7" t="s">
        <v>30</v>
      </c>
      <c r="J54" s="7" t="s">
        <v>31</v>
      </c>
      <c r="K54" s="7" t="str">
        <f>CONCATENATE("")</f>
        <v/>
      </c>
      <c r="L54" s="7" t="str">
        <f>CONCATENATE("4 4.3 2a")</f>
        <v>4 4.3 2a</v>
      </c>
      <c r="M54" s="7" t="str">
        <f>CONCATENATE("01874180431")</f>
        <v>01874180431</v>
      </c>
      <c r="N54" s="7" t="s">
        <v>62</v>
      </c>
      <c r="O54" s="7" t="s">
        <v>92</v>
      </c>
      <c r="P54" s="8">
        <v>44488</v>
      </c>
      <c r="Q54" s="7" t="s">
        <v>32</v>
      </c>
      <c r="R54" s="7" t="s">
        <v>42</v>
      </c>
      <c r="S54" s="7" t="s">
        <v>34</v>
      </c>
      <c r="T54" s="7"/>
      <c r="U54" s="7" t="s">
        <v>35</v>
      </c>
      <c r="V54" s="9">
        <v>15426.87</v>
      </c>
      <c r="W54" s="9">
        <v>6652.07</v>
      </c>
      <c r="X54" s="9">
        <v>6142.98</v>
      </c>
      <c r="Y54" s="7">
        <v>0</v>
      </c>
      <c r="Z54" s="9">
        <v>2631.82</v>
      </c>
    </row>
    <row r="55" spans="1:26" x14ac:dyDescent="0.35">
      <c r="A55" s="7" t="s">
        <v>27</v>
      </c>
      <c r="B55" s="7" t="s">
        <v>28</v>
      </c>
      <c r="C55" s="7" t="s">
        <v>43</v>
      </c>
      <c r="D55" s="7" t="s">
        <v>91</v>
      </c>
      <c r="E55" s="7" t="s">
        <v>29</v>
      </c>
      <c r="F55" s="7" t="s">
        <v>29</v>
      </c>
      <c r="G55" s="7">
        <v>2017</v>
      </c>
      <c r="H55" s="7" t="str">
        <f>CONCATENATE("14270215321")</f>
        <v>14270215321</v>
      </c>
      <c r="I55" s="7" t="s">
        <v>30</v>
      </c>
      <c r="J55" s="7" t="s">
        <v>31</v>
      </c>
      <c r="K55" s="7" t="str">
        <f>CONCATENATE("")</f>
        <v/>
      </c>
      <c r="L55" s="7" t="str">
        <f>CONCATENATE("4 4.3 2a")</f>
        <v>4 4.3 2a</v>
      </c>
      <c r="M55" s="7" t="str">
        <f>CONCATENATE("01874180431")</f>
        <v>01874180431</v>
      </c>
      <c r="N55" s="7" t="s">
        <v>62</v>
      </c>
      <c r="O55" s="7" t="s">
        <v>92</v>
      </c>
      <c r="P55" s="8">
        <v>44488</v>
      </c>
      <c r="Q55" s="7" t="s">
        <v>32</v>
      </c>
      <c r="R55" s="7" t="s">
        <v>42</v>
      </c>
      <c r="S55" s="7" t="s">
        <v>34</v>
      </c>
      <c r="T55" s="7"/>
      <c r="U55" s="7" t="s">
        <v>35</v>
      </c>
      <c r="V55" s="9">
        <v>8689.6</v>
      </c>
      <c r="W55" s="9">
        <v>3746.96</v>
      </c>
      <c r="X55" s="9">
        <v>3460.2</v>
      </c>
      <c r="Y55" s="7">
        <v>0</v>
      </c>
      <c r="Z55" s="9">
        <v>1482.44</v>
      </c>
    </row>
    <row r="56" spans="1:26" x14ac:dyDescent="0.35">
      <c r="A56" s="7" t="s">
        <v>27</v>
      </c>
      <c r="B56" s="7" t="s">
        <v>28</v>
      </c>
      <c r="C56" s="7" t="s">
        <v>43</v>
      </c>
      <c r="D56" s="7" t="s">
        <v>91</v>
      </c>
      <c r="E56" s="7" t="s">
        <v>29</v>
      </c>
      <c r="F56" s="7" t="s">
        <v>29</v>
      </c>
      <c r="G56" s="7">
        <v>2017</v>
      </c>
      <c r="H56" s="7" t="str">
        <f>CONCATENATE("14270215297")</f>
        <v>14270215297</v>
      </c>
      <c r="I56" s="7" t="s">
        <v>30</v>
      </c>
      <c r="J56" s="7" t="s">
        <v>31</v>
      </c>
      <c r="K56" s="7" t="str">
        <f>CONCATENATE("")</f>
        <v/>
      </c>
      <c r="L56" s="7" t="str">
        <f>CONCATENATE("4 4.3 2a")</f>
        <v>4 4.3 2a</v>
      </c>
      <c r="M56" s="7" t="str">
        <f>CONCATENATE("01874180431")</f>
        <v>01874180431</v>
      </c>
      <c r="N56" s="7" t="s">
        <v>62</v>
      </c>
      <c r="O56" s="7" t="s">
        <v>92</v>
      </c>
      <c r="P56" s="8">
        <v>44488</v>
      </c>
      <c r="Q56" s="7" t="s">
        <v>32</v>
      </c>
      <c r="R56" s="7" t="s">
        <v>42</v>
      </c>
      <c r="S56" s="7" t="s">
        <v>34</v>
      </c>
      <c r="T56" s="7"/>
      <c r="U56" s="7" t="s">
        <v>35</v>
      </c>
      <c r="V56" s="9">
        <v>21742.55</v>
      </c>
      <c r="W56" s="9">
        <v>9375.39</v>
      </c>
      <c r="X56" s="9">
        <v>8657.8799999999992</v>
      </c>
      <c r="Y56" s="7">
        <v>0</v>
      </c>
      <c r="Z56" s="9">
        <v>3709.28</v>
      </c>
    </row>
    <row r="57" spans="1:26" x14ac:dyDescent="0.35">
      <c r="A57" s="7" t="s">
        <v>27</v>
      </c>
      <c r="B57" s="7" t="s">
        <v>28</v>
      </c>
      <c r="C57" s="7" t="s">
        <v>43</v>
      </c>
      <c r="D57" s="7" t="s">
        <v>43</v>
      </c>
      <c r="E57" s="7" t="s">
        <v>29</v>
      </c>
      <c r="F57" s="7" t="s">
        <v>29</v>
      </c>
      <c r="G57" s="7">
        <v>2017</v>
      </c>
      <c r="H57" s="7" t="str">
        <f>CONCATENATE("14270215115")</f>
        <v>14270215115</v>
      </c>
      <c r="I57" s="7" t="s">
        <v>30</v>
      </c>
      <c r="J57" s="7" t="s">
        <v>31</v>
      </c>
      <c r="K57" s="7" t="str">
        <f>CONCATENATE("")</f>
        <v/>
      </c>
      <c r="L57" s="7" t="str">
        <f>CONCATENATE("19 19.2 6b")</f>
        <v>19 19.2 6b</v>
      </c>
      <c r="M57" s="7" t="str">
        <f>CONCATENATE("81000250431")</f>
        <v>81000250431</v>
      </c>
      <c r="N57" s="7" t="s">
        <v>90</v>
      </c>
      <c r="O57" s="7" t="s">
        <v>93</v>
      </c>
      <c r="P57" s="8">
        <v>44488</v>
      </c>
      <c r="Q57" s="7" t="s">
        <v>32</v>
      </c>
      <c r="R57" s="7" t="s">
        <v>42</v>
      </c>
      <c r="S57" s="7" t="s">
        <v>34</v>
      </c>
      <c r="T57" s="7"/>
      <c r="U57" s="7" t="s">
        <v>35</v>
      </c>
      <c r="V57" s="9">
        <v>38941.39</v>
      </c>
      <c r="W57" s="9">
        <v>16791.53</v>
      </c>
      <c r="X57" s="9">
        <v>15506.46</v>
      </c>
      <c r="Y57" s="7">
        <v>0</v>
      </c>
      <c r="Z57" s="9">
        <v>6643.4</v>
      </c>
    </row>
    <row r="58" spans="1:26" x14ac:dyDescent="0.35">
      <c r="A58" s="7" t="s">
        <v>27</v>
      </c>
      <c r="B58" s="7" t="s">
        <v>28</v>
      </c>
      <c r="C58" s="7" t="s">
        <v>43</v>
      </c>
      <c r="D58" s="7" t="s">
        <v>43</v>
      </c>
      <c r="E58" s="7" t="s">
        <v>29</v>
      </c>
      <c r="F58" s="7" t="s">
        <v>29</v>
      </c>
      <c r="G58" s="7">
        <v>2017</v>
      </c>
      <c r="H58" s="7" t="str">
        <f>CONCATENATE("14270213540")</f>
        <v>14270213540</v>
      </c>
      <c r="I58" s="7" t="s">
        <v>30</v>
      </c>
      <c r="J58" s="7" t="s">
        <v>31</v>
      </c>
      <c r="K58" s="7" t="str">
        <f>CONCATENATE("")</f>
        <v/>
      </c>
      <c r="L58" s="7" t="str">
        <f>CONCATENATE("19 19.2 6b")</f>
        <v>19 19.2 6b</v>
      </c>
      <c r="M58" s="7" t="str">
        <f>CONCATENATE("00265950436")</f>
        <v>00265950436</v>
      </c>
      <c r="N58" s="7" t="s">
        <v>94</v>
      </c>
      <c r="O58" s="7" t="s">
        <v>93</v>
      </c>
      <c r="P58" s="8">
        <v>44488</v>
      </c>
      <c r="Q58" s="7" t="s">
        <v>32</v>
      </c>
      <c r="R58" s="7" t="s">
        <v>42</v>
      </c>
      <c r="S58" s="7" t="s">
        <v>34</v>
      </c>
      <c r="T58" s="7"/>
      <c r="U58" s="7" t="s">
        <v>35</v>
      </c>
      <c r="V58" s="9">
        <v>45052.35</v>
      </c>
      <c r="W58" s="9">
        <v>19426.57</v>
      </c>
      <c r="X58" s="9">
        <v>17939.849999999999</v>
      </c>
      <c r="Y58" s="7">
        <v>0</v>
      </c>
      <c r="Z58" s="9">
        <v>7685.93</v>
      </c>
    </row>
    <row r="59" spans="1:26" x14ac:dyDescent="0.35">
      <c r="A59" s="7" t="s">
        <v>27</v>
      </c>
      <c r="B59" s="7" t="s">
        <v>28</v>
      </c>
      <c r="C59" s="7" t="s">
        <v>43</v>
      </c>
      <c r="D59" s="7" t="s">
        <v>43</v>
      </c>
      <c r="E59" s="7" t="s">
        <v>29</v>
      </c>
      <c r="F59" s="7" t="s">
        <v>29</v>
      </c>
      <c r="G59" s="7">
        <v>2017</v>
      </c>
      <c r="H59" s="7" t="str">
        <f>CONCATENATE("14270277883")</f>
        <v>14270277883</v>
      </c>
      <c r="I59" s="7" t="s">
        <v>30</v>
      </c>
      <c r="J59" s="7" t="s">
        <v>31</v>
      </c>
      <c r="K59" s="7" t="str">
        <f>CONCATENATE("")</f>
        <v/>
      </c>
      <c r="L59" s="7" t="str">
        <f>CONCATENATE("19 19.2 6b")</f>
        <v>19 19.2 6b</v>
      </c>
      <c r="M59" s="7" t="str">
        <f>CONCATENATE("00215270430")</f>
        <v>00215270430</v>
      </c>
      <c r="N59" s="7" t="s">
        <v>64</v>
      </c>
      <c r="O59" s="7" t="s">
        <v>95</v>
      </c>
      <c r="P59" s="8">
        <v>44489</v>
      </c>
      <c r="Q59" s="7" t="s">
        <v>32</v>
      </c>
      <c r="R59" s="7" t="s">
        <v>42</v>
      </c>
      <c r="S59" s="7" t="s">
        <v>34</v>
      </c>
      <c r="T59" s="7"/>
      <c r="U59" s="7" t="s">
        <v>35</v>
      </c>
      <c r="V59" s="9">
        <v>42409.15</v>
      </c>
      <c r="W59" s="9">
        <v>18286.830000000002</v>
      </c>
      <c r="X59" s="9">
        <v>16887.32</v>
      </c>
      <c r="Y59" s="7">
        <v>0</v>
      </c>
      <c r="Z59" s="9">
        <v>7235</v>
      </c>
    </row>
    <row r="60" spans="1:26" x14ac:dyDescent="0.35">
      <c r="A60" s="7" t="s">
        <v>27</v>
      </c>
      <c r="B60" s="7" t="s">
        <v>28</v>
      </c>
      <c r="C60" s="7" t="s">
        <v>43</v>
      </c>
      <c r="D60" s="7" t="s">
        <v>43</v>
      </c>
      <c r="E60" s="7" t="s">
        <v>29</v>
      </c>
      <c r="F60" s="7" t="s">
        <v>29</v>
      </c>
      <c r="G60" s="7">
        <v>2017</v>
      </c>
      <c r="H60" s="7" t="str">
        <f>CONCATENATE("14270217434")</f>
        <v>14270217434</v>
      </c>
      <c r="I60" s="7" t="s">
        <v>30</v>
      </c>
      <c r="J60" s="7" t="s">
        <v>31</v>
      </c>
      <c r="K60" s="7" t="str">
        <f>CONCATENATE("")</f>
        <v/>
      </c>
      <c r="L60" s="7" t="str">
        <f>CONCATENATE("19 19.2 6b")</f>
        <v>19 19.2 6b</v>
      </c>
      <c r="M60" s="7" t="str">
        <f>CONCATENATE("00146060413")</f>
        <v>00146060413</v>
      </c>
      <c r="N60" s="7" t="s">
        <v>96</v>
      </c>
      <c r="O60" s="7" t="s">
        <v>85</v>
      </c>
      <c r="P60" s="8">
        <v>44488</v>
      </c>
      <c r="Q60" s="7" t="s">
        <v>32</v>
      </c>
      <c r="R60" s="7" t="s">
        <v>42</v>
      </c>
      <c r="S60" s="7" t="s">
        <v>34</v>
      </c>
      <c r="T60" s="7"/>
      <c r="U60" s="7" t="s">
        <v>35</v>
      </c>
      <c r="V60" s="9">
        <v>19200</v>
      </c>
      <c r="W60" s="9">
        <v>8279.0400000000009</v>
      </c>
      <c r="X60" s="9">
        <v>7645.44</v>
      </c>
      <c r="Y60" s="7">
        <v>0</v>
      </c>
      <c r="Z60" s="9">
        <v>3275.52</v>
      </c>
    </row>
    <row r="61" spans="1:26" x14ac:dyDescent="0.35">
      <c r="A61" s="7" t="s">
        <v>27</v>
      </c>
      <c r="B61" s="7" t="s">
        <v>28</v>
      </c>
      <c r="C61" s="7" t="s">
        <v>43</v>
      </c>
      <c r="D61" s="7" t="s">
        <v>43</v>
      </c>
      <c r="E61" s="7" t="s">
        <v>29</v>
      </c>
      <c r="F61" s="7" t="s">
        <v>29</v>
      </c>
      <c r="G61" s="7">
        <v>2017</v>
      </c>
      <c r="H61" s="7" t="str">
        <f>CONCATENATE("14270217426")</f>
        <v>14270217426</v>
      </c>
      <c r="I61" s="7" t="s">
        <v>30</v>
      </c>
      <c r="J61" s="7" t="s">
        <v>31</v>
      </c>
      <c r="K61" s="7" t="str">
        <f>CONCATENATE("")</f>
        <v/>
      </c>
      <c r="L61" s="7" t="str">
        <f>CONCATENATE("19 19.2 6b")</f>
        <v>19 19.2 6b</v>
      </c>
      <c r="M61" s="7" t="str">
        <f>CONCATENATE("82001210416")</f>
        <v>82001210416</v>
      </c>
      <c r="N61" s="7" t="s">
        <v>97</v>
      </c>
      <c r="O61" s="7" t="s">
        <v>85</v>
      </c>
      <c r="P61" s="8">
        <v>44488</v>
      </c>
      <c r="Q61" s="7" t="s">
        <v>32</v>
      </c>
      <c r="R61" s="7" t="s">
        <v>42</v>
      </c>
      <c r="S61" s="7" t="s">
        <v>34</v>
      </c>
      <c r="T61" s="7"/>
      <c r="U61" s="7" t="s">
        <v>35</v>
      </c>
      <c r="V61" s="9">
        <v>20000</v>
      </c>
      <c r="W61" s="9">
        <v>8624</v>
      </c>
      <c r="X61" s="9">
        <v>7964</v>
      </c>
      <c r="Y61" s="7">
        <v>0</v>
      </c>
      <c r="Z61" s="9">
        <v>3412</v>
      </c>
    </row>
    <row r="62" spans="1:26" x14ac:dyDescent="0.35">
      <c r="A62" s="7" t="s">
        <v>27</v>
      </c>
      <c r="B62" s="7" t="s">
        <v>28</v>
      </c>
      <c r="C62" s="7" t="s">
        <v>43</v>
      </c>
      <c r="D62" s="7" t="s">
        <v>48</v>
      </c>
      <c r="E62" s="7" t="s">
        <v>29</v>
      </c>
      <c r="F62" s="7" t="s">
        <v>29</v>
      </c>
      <c r="G62" s="7">
        <v>2017</v>
      </c>
      <c r="H62" s="7" t="str">
        <f>CONCATENATE("14270231120")</f>
        <v>14270231120</v>
      </c>
      <c r="I62" s="7" t="s">
        <v>30</v>
      </c>
      <c r="J62" s="7" t="s">
        <v>31</v>
      </c>
      <c r="K62" s="7" t="str">
        <f>CONCATENATE("")</f>
        <v/>
      </c>
      <c r="L62" s="7" t="str">
        <f>CONCATENATE("21 21.1 2a")</f>
        <v>21 21.1 2a</v>
      </c>
      <c r="M62" s="7" t="str">
        <f>CONCATENATE("DNGPLA74L02I156I")</f>
        <v>DNGPLA74L02I156I</v>
      </c>
      <c r="N62" s="7" t="s">
        <v>98</v>
      </c>
      <c r="O62" s="7" t="s">
        <v>99</v>
      </c>
      <c r="P62" s="8">
        <v>44489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5520.03</v>
      </c>
      <c r="W62" s="9">
        <v>2380.2399999999998</v>
      </c>
      <c r="X62" s="9">
        <v>2198.08</v>
      </c>
      <c r="Y62" s="7">
        <v>0</v>
      </c>
      <c r="Z62" s="7">
        <v>941.71</v>
      </c>
    </row>
    <row r="63" spans="1:26" x14ac:dyDescent="0.35">
      <c r="A63" s="7" t="s">
        <v>27</v>
      </c>
      <c r="B63" s="7" t="s">
        <v>28</v>
      </c>
      <c r="C63" s="7" t="s">
        <v>43</v>
      </c>
      <c r="D63" s="7" t="s">
        <v>91</v>
      </c>
      <c r="E63" s="7" t="s">
        <v>37</v>
      </c>
      <c r="F63" s="7" t="s">
        <v>100</v>
      </c>
      <c r="G63" s="7">
        <v>2017</v>
      </c>
      <c r="H63" s="7" t="str">
        <f>CONCATENATE("14270231203")</f>
        <v>14270231203</v>
      </c>
      <c r="I63" s="7" t="s">
        <v>30</v>
      </c>
      <c r="J63" s="7" t="s">
        <v>31</v>
      </c>
      <c r="K63" s="7" t="str">
        <f>CONCATENATE("")</f>
        <v/>
      </c>
      <c r="L63" s="7" t="str">
        <f>CONCATENATE("21 21.1 2a")</f>
        <v>21 21.1 2a</v>
      </c>
      <c r="M63" s="7" t="str">
        <f>CONCATENATE("FLPCLD63T17D488V")</f>
        <v>FLPCLD63T17D488V</v>
      </c>
      <c r="N63" s="7" t="s">
        <v>101</v>
      </c>
      <c r="O63" s="7" t="s">
        <v>99</v>
      </c>
      <c r="P63" s="8">
        <v>44489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7000</v>
      </c>
      <c r="W63" s="9">
        <v>3018.4</v>
      </c>
      <c r="X63" s="9">
        <v>2787.4</v>
      </c>
      <c r="Y63" s="7">
        <v>0</v>
      </c>
      <c r="Z63" s="9">
        <v>1194.2</v>
      </c>
    </row>
    <row r="64" spans="1:26" x14ac:dyDescent="0.35">
      <c r="A64" s="7" t="s">
        <v>27</v>
      </c>
      <c r="B64" s="7" t="s">
        <v>28</v>
      </c>
      <c r="C64" s="7" t="s">
        <v>43</v>
      </c>
      <c r="D64" s="7" t="s">
        <v>91</v>
      </c>
      <c r="E64" s="7" t="s">
        <v>37</v>
      </c>
      <c r="F64" s="7" t="s">
        <v>100</v>
      </c>
      <c r="G64" s="7">
        <v>2017</v>
      </c>
      <c r="H64" s="7" t="str">
        <f>CONCATENATE("14270231070")</f>
        <v>14270231070</v>
      </c>
      <c r="I64" s="7" t="s">
        <v>30</v>
      </c>
      <c r="J64" s="7" t="s">
        <v>31</v>
      </c>
      <c r="K64" s="7" t="str">
        <f>CONCATENATE("")</f>
        <v/>
      </c>
      <c r="L64" s="7" t="str">
        <f>CONCATENATE("21 21.1 2a")</f>
        <v>21 21.1 2a</v>
      </c>
      <c r="M64" s="7" t="str">
        <f>CONCATENATE("FLPFNC97S05D488Q")</f>
        <v>FLPFNC97S05D488Q</v>
      </c>
      <c r="N64" s="7" t="s">
        <v>102</v>
      </c>
      <c r="O64" s="7" t="s">
        <v>99</v>
      </c>
      <c r="P64" s="8">
        <v>44489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2967.84</v>
      </c>
      <c r="W64" s="9">
        <v>1279.73</v>
      </c>
      <c r="X64" s="9">
        <v>1181.79</v>
      </c>
      <c r="Y64" s="7">
        <v>0</v>
      </c>
      <c r="Z64" s="7">
        <v>506.32</v>
      </c>
    </row>
    <row r="65" spans="1:26" x14ac:dyDescent="0.35">
      <c r="A65" s="7" t="s">
        <v>27</v>
      </c>
      <c r="B65" s="7" t="s">
        <v>28</v>
      </c>
      <c r="C65" s="7" t="s">
        <v>43</v>
      </c>
      <c r="D65" s="7" t="s">
        <v>48</v>
      </c>
      <c r="E65" s="7" t="s">
        <v>37</v>
      </c>
      <c r="F65" s="7" t="s">
        <v>103</v>
      </c>
      <c r="G65" s="7">
        <v>2017</v>
      </c>
      <c r="H65" s="7" t="str">
        <f>CONCATENATE("14270231195")</f>
        <v>14270231195</v>
      </c>
      <c r="I65" s="7" t="s">
        <v>30</v>
      </c>
      <c r="J65" s="7" t="s">
        <v>31</v>
      </c>
      <c r="K65" s="7" t="str">
        <f>CONCATENATE("")</f>
        <v/>
      </c>
      <c r="L65" s="7" t="str">
        <f>CONCATENATE("21 21.1 2a")</f>
        <v>21 21.1 2a</v>
      </c>
      <c r="M65" s="7" t="str">
        <f>CONCATENATE("GLLNPL60H47H598C")</f>
        <v>GLLNPL60H47H598C</v>
      </c>
      <c r="N65" s="7" t="s">
        <v>104</v>
      </c>
      <c r="O65" s="7" t="s">
        <v>99</v>
      </c>
      <c r="P65" s="8">
        <v>44489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1745.21</v>
      </c>
      <c r="W65" s="7">
        <v>752.53</v>
      </c>
      <c r="X65" s="7">
        <v>694.94</v>
      </c>
      <c r="Y65" s="7">
        <v>0</v>
      </c>
      <c r="Z65" s="7">
        <v>297.74</v>
      </c>
    </row>
    <row r="66" spans="1:26" x14ac:dyDescent="0.35">
      <c r="A66" s="7" t="s">
        <v>27</v>
      </c>
      <c r="B66" s="7" t="s">
        <v>28</v>
      </c>
      <c r="C66" s="7" t="s">
        <v>43</v>
      </c>
      <c r="D66" s="7" t="s">
        <v>48</v>
      </c>
      <c r="E66" s="7" t="s">
        <v>38</v>
      </c>
      <c r="F66" s="7" t="s">
        <v>105</v>
      </c>
      <c r="G66" s="7">
        <v>2017</v>
      </c>
      <c r="H66" s="7" t="str">
        <f>CONCATENATE("14270231153")</f>
        <v>14270231153</v>
      </c>
      <c r="I66" s="7" t="s">
        <v>30</v>
      </c>
      <c r="J66" s="7" t="s">
        <v>31</v>
      </c>
      <c r="K66" s="7" t="str">
        <f>CONCATENATE("")</f>
        <v/>
      </c>
      <c r="L66" s="7" t="str">
        <f>CONCATENATE("21 21.1 2a")</f>
        <v>21 21.1 2a</v>
      </c>
      <c r="M66" s="7" t="str">
        <f>CONCATENATE("01644070433")</f>
        <v>01644070433</v>
      </c>
      <c r="N66" s="7" t="s">
        <v>106</v>
      </c>
      <c r="O66" s="7" t="s">
        <v>99</v>
      </c>
      <c r="P66" s="8">
        <v>44489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4617.13</v>
      </c>
      <c r="W66" s="9">
        <v>1990.91</v>
      </c>
      <c r="X66" s="9">
        <v>1838.54</v>
      </c>
      <c r="Y66" s="7">
        <v>0</v>
      </c>
      <c r="Z66" s="7">
        <v>787.68</v>
      </c>
    </row>
    <row r="67" spans="1:26" x14ac:dyDescent="0.35">
      <c r="A67" s="7" t="s">
        <v>27</v>
      </c>
      <c r="B67" s="7" t="s">
        <v>28</v>
      </c>
      <c r="C67" s="7" t="s">
        <v>43</v>
      </c>
      <c r="D67" s="7" t="s">
        <v>91</v>
      </c>
      <c r="E67" s="7" t="s">
        <v>38</v>
      </c>
      <c r="F67" s="7" t="s">
        <v>107</v>
      </c>
      <c r="G67" s="7">
        <v>2017</v>
      </c>
      <c r="H67" s="7" t="str">
        <f>CONCATENATE("14270231138")</f>
        <v>14270231138</v>
      </c>
      <c r="I67" s="7" t="s">
        <v>30</v>
      </c>
      <c r="J67" s="7" t="s">
        <v>31</v>
      </c>
      <c r="K67" s="7" t="str">
        <f>CONCATENATE("")</f>
        <v/>
      </c>
      <c r="L67" s="7" t="str">
        <f>CONCATENATE("21 21.1 2a")</f>
        <v>21 21.1 2a</v>
      </c>
      <c r="M67" s="7" t="str">
        <f>CONCATENATE("RSSNNA53S53F347O")</f>
        <v>RSSNNA53S53F347O</v>
      </c>
      <c r="N67" s="7" t="s">
        <v>108</v>
      </c>
      <c r="O67" s="7" t="s">
        <v>99</v>
      </c>
      <c r="P67" s="8">
        <v>44489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7000</v>
      </c>
      <c r="W67" s="9">
        <v>3018.4</v>
      </c>
      <c r="X67" s="9">
        <v>2787.4</v>
      </c>
      <c r="Y67" s="7">
        <v>0</v>
      </c>
      <c r="Z67" s="9">
        <v>1194.2</v>
      </c>
    </row>
    <row r="68" spans="1:26" x14ac:dyDescent="0.35">
      <c r="A68" s="7" t="s">
        <v>27</v>
      </c>
      <c r="B68" s="7" t="s">
        <v>28</v>
      </c>
      <c r="C68" s="7" t="s">
        <v>43</v>
      </c>
      <c r="D68" s="7" t="s">
        <v>91</v>
      </c>
      <c r="E68" s="7" t="s">
        <v>37</v>
      </c>
      <c r="F68" s="7" t="s">
        <v>109</v>
      </c>
      <c r="G68" s="7">
        <v>2017</v>
      </c>
      <c r="H68" s="7" t="str">
        <f>CONCATENATE("14270231823")</f>
        <v>14270231823</v>
      </c>
      <c r="I68" s="7" t="s">
        <v>30</v>
      </c>
      <c r="J68" s="7" t="s">
        <v>31</v>
      </c>
      <c r="K68" s="7" t="str">
        <f>CONCATENATE("")</f>
        <v/>
      </c>
      <c r="L68" s="7" t="str">
        <f>CONCATENATE("21 21.1 2a")</f>
        <v>21 21.1 2a</v>
      </c>
      <c r="M68" s="7" t="str">
        <f>CONCATENATE("01237370414")</f>
        <v>01237370414</v>
      </c>
      <c r="N68" s="7" t="s">
        <v>110</v>
      </c>
      <c r="O68" s="7" t="s">
        <v>99</v>
      </c>
      <c r="P68" s="8">
        <v>44489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3538.33</v>
      </c>
      <c r="W68" s="9">
        <v>1525.73</v>
      </c>
      <c r="X68" s="9">
        <v>1408.96</v>
      </c>
      <c r="Y68" s="7">
        <v>0</v>
      </c>
      <c r="Z68" s="7">
        <v>603.64</v>
      </c>
    </row>
    <row r="69" spans="1:26" x14ac:dyDescent="0.35">
      <c r="A69" s="7" t="s">
        <v>27</v>
      </c>
      <c r="B69" s="7" t="s">
        <v>28</v>
      </c>
      <c r="C69" s="7" t="s">
        <v>43</v>
      </c>
      <c r="D69" s="7" t="s">
        <v>48</v>
      </c>
      <c r="E69" s="7" t="s">
        <v>37</v>
      </c>
      <c r="F69" s="7" t="s">
        <v>103</v>
      </c>
      <c r="G69" s="7">
        <v>2017</v>
      </c>
      <c r="H69" s="7" t="str">
        <f>CONCATENATE("14270231179")</f>
        <v>14270231179</v>
      </c>
      <c r="I69" s="7" t="s">
        <v>30</v>
      </c>
      <c r="J69" s="7" t="s">
        <v>31</v>
      </c>
      <c r="K69" s="7" t="str">
        <f>CONCATENATE("")</f>
        <v/>
      </c>
      <c r="L69" s="7" t="str">
        <f>CONCATENATE("21 21.1 2a")</f>
        <v>21 21.1 2a</v>
      </c>
      <c r="M69" s="7" t="str">
        <f>CONCATENATE("TRTCLD61T02I156N")</f>
        <v>TRTCLD61T02I156N</v>
      </c>
      <c r="N69" s="7" t="s">
        <v>111</v>
      </c>
      <c r="O69" s="7" t="s">
        <v>99</v>
      </c>
      <c r="P69" s="8">
        <v>44489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7000</v>
      </c>
      <c r="W69" s="9">
        <v>3018.4</v>
      </c>
      <c r="X69" s="9">
        <v>2787.4</v>
      </c>
      <c r="Y69" s="7">
        <v>0</v>
      </c>
      <c r="Z69" s="9">
        <v>1194.2</v>
      </c>
    </row>
    <row r="70" spans="1:26" x14ac:dyDescent="0.35">
      <c r="A70" s="7" t="s">
        <v>27</v>
      </c>
      <c r="B70" s="7" t="s">
        <v>28</v>
      </c>
      <c r="C70" s="7" t="s">
        <v>43</v>
      </c>
      <c r="D70" s="7" t="s">
        <v>91</v>
      </c>
      <c r="E70" s="7" t="s">
        <v>38</v>
      </c>
      <c r="F70" s="7" t="s">
        <v>112</v>
      </c>
      <c r="G70" s="7">
        <v>2017</v>
      </c>
      <c r="H70" s="7" t="str">
        <f>CONCATENATE("14270231088")</f>
        <v>14270231088</v>
      </c>
      <c r="I70" s="7" t="s">
        <v>30</v>
      </c>
      <c r="J70" s="7" t="s">
        <v>31</v>
      </c>
      <c r="K70" s="7" t="str">
        <f>CONCATENATE("")</f>
        <v/>
      </c>
      <c r="L70" s="7" t="str">
        <f>CONCATENATE("21 21.1 2a")</f>
        <v>21 21.1 2a</v>
      </c>
      <c r="M70" s="7" t="str">
        <f>CONCATENATE("FLCMHL74A30E785H")</f>
        <v>FLCMHL74A30E785H</v>
      </c>
      <c r="N70" s="7" t="s">
        <v>113</v>
      </c>
      <c r="O70" s="7" t="s">
        <v>99</v>
      </c>
      <c r="P70" s="8">
        <v>44489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7000</v>
      </c>
      <c r="W70" s="9">
        <v>3018.4</v>
      </c>
      <c r="X70" s="9">
        <v>2787.4</v>
      </c>
      <c r="Y70" s="7">
        <v>0</v>
      </c>
      <c r="Z70" s="9">
        <v>1194.2</v>
      </c>
    </row>
    <row r="71" spans="1:26" x14ac:dyDescent="0.35">
      <c r="A71" s="7" t="s">
        <v>27</v>
      </c>
      <c r="B71" s="7" t="s">
        <v>28</v>
      </c>
      <c r="C71" s="7" t="s">
        <v>43</v>
      </c>
      <c r="D71" s="7" t="s">
        <v>91</v>
      </c>
      <c r="E71" s="7" t="s">
        <v>37</v>
      </c>
      <c r="F71" s="7" t="s">
        <v>114</v>
      </c>
      <c r="G71" s="7">
        <v>2017</v>
      </c>
      <c r="H71" s="7" t="str">
        <f>CONCATENATE("14270231104")</f>
        <v>14270231104</v>
      </c>
      <c r="I71" s="7" t="s">
        <v>30</v>
      </c>
      <c r="J71" s="7" t="s">
        <v>31</v>
      </c>
      <c r="K71" s="7" t="str">
        <f>CONCATENATE("")</f>
        <v/>
      </c>
      <c r="L71" s="7" t="str">
        <f>CONCATENATE("21 21.1 2a")</f>
        <v>21 21.1 2a</v>
      </c>
      <c r="M71" s="7" t="str">
        <f>CONCATENATE("PRNMLR58B46C745T")</f>
        <v>PRNMLR58B46C745T</v>
      </c>
      <c r="N71" s="7" t="s">
        <v>115</v>
      </c>
      <c r="O71" s="7" t="s">
        <v>99</v>
      </c>
      <c r="P71" s="8">
        <v>44489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7000</v>
      </c>
      <c r="W71" s="9">
        <v>3018.4</v>
      </c>
      <c r="X71" s="9">
        <v>2787.4</v>
      </c>
      <c r="Y71" s="7">
        <v>0</v>
      </c>
      <c r="Z71" s="9">
        <v>1194.2</v>
      </c>
    </row>
    <row r="72" spans="1:26" x14ac:dyDescent="0.35">
      <c r="A72" s="7" t="s">
        <v>27</v>
      </c>
      <c r="B72" s="7" t="s">
        <v>28</v>
      </c>
      <c r="C72" s="7" t="s">
        <v>43</v>
      </c>
      <c r="D72" s="7" t="s">
        <v>91</v>
      </c>
      <c r="E72" s="7" t="s">
        <v>29</v>
      </c>
      <c r="F72" s="7" t="s">
        <v>29</v>
      </c>
      <c r="G72" s="7">
        <v>2017</v>
      </c>
      <c r="H72" s="7" t="str">
        <f>CONCATENATE("14270231146")</f>
        <v>14270231146</v>
      </c>
      <c r="I72" s="7" t="s">
        <v>30</v>
      </c>
      <c r="J72" s="7" t="s">
        <v>31</v>
      </c>
      <c r="K72" s="7" t="str">
        <f>CONCATENATE("")</f>
        <v/>
      </c>
      <c r="L72" s="7" t="str">
        <f>CONCATENATE("21 21.1 2a")</f>
        <v>21 21.1 2a</v>
      </c>
      <c r="M72" s="7" t="str">
        <f>CONCATENATE("02607640410")</f>
        <v>02607640410</v>
      </c>
      <c r="N72" s="7" t="s">
        <v>116</v>
      </c>
      <c r="O72" s="7" t="s">
        <v>99</v>
      </c>
      <c r="P72" s="8">
        <v>44489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9">
        <v>7000</v>
      </c>
      <c r="W72" s="9">
        <v>3018.4</v>
      </c>
      <c r="X72" s="9">
        <v>2787.4</v>
      </c>
      <c r="Y72" s="7">
        <v>0</v>
      </c>
      <c r="Z72" s="9">
        <v>1194.2</v>
      </c>
    </row>
    <row r="73" spans="1:26" x14ac:dyDescent="0.35">
      <c r="A73" s="7" t="s">
        <v>27</v>
      </c>
      <c r="B73" s="7" t="s">
        <v>28</v>
      </c>
      <c r="C73" s="7" t="s">
        <v>43</v>
      </c>
      <c r="D73" s="7" t="s">
        <v>43</v>
      </c>
      <c r="E73" s="7" t="s">
        <v>29</v>
      </c>
      <c r="F73" s="7" t="s">
        <v>29</v>
      </c>
      <c r="G73" s="7">
        <v>2017</v>
      </c>
      <c r="H73" s="7" t="str">
        <f>CONCATENATE("14270276927")</f>
        <v>14270276927</v>
      </c>
      <c r="I73" s="7" t="s">
        <v>30</v>
      </c>
      <c r="J73" s="7" t="s">
        <v>31</v>
      </c>
      <c r="K73" s="7" t="str">
        <f>CONCATENATE("")</f>
        <v/>
      </c>
      <c r="L73" s="7" t="str">
        <f>CONCATENATE("19 19.2 6b")</f>
        <v>19 19.2 6b</v>
      </c>
      <c r="M73" s="7" t="str">
        <f>CONCATENATE("00360580419")</f>
        <v>00360580419</v>
      </c>
      <c r="N73" s="7" t="s">
        <v>56</v>
      </c>
      <c r="O73" s="7" t="s">
        <v>117</v>
      </c>
      <c r="P73" s="8">
        <v>44489</v>
      </c>
      <c r="Q73" s="7" t="s">
        <v>32</v>
      </c>
      <c r="R73" s="7" t="s">
        <v>42</v>
      </c>
      <c r="S73" s="7" t="s">
        <v>34</v>
      </c>
      <c r="T73" s="7"/>
      <c r="U73" s="7" t="s">
        <v>35</v>
      </c>
      <c r="V73" s="9">
        <v>26635.46</v>
      </c>
      <c r="W73" s="9">
        <v>11485.21</v>
      </c>
      <c r="X73" s="9">
        <v>10606.24</v>
      </c>
      <c r="Y73" s="7">
        <v>0</v>
      </c>
      <c r="Z73" s="9">
        <v>4544.01</v>
      </c>
    </row>
    <row r="74" spans="1:26" ht="17.5" x14ac:dyDescent="0.35">
      <c r="A74" s="7" t="s">
        <v>27</v>
      </c>
      <c r="B74" s="7" t="s">
        <v>28</v>
      </c>
      <c r="C74" s="7" t="s">
        <v>43</v>
      </c>
      <c r="D74" s="7" t="s">
        <v>91</v>
      </c>
      <c r="E74" s="7" t="s">
        <v>38</v>
      </c>
      <c r="F74" s="7" t="s">
        <v>118</v>
      </c>
      <c r="G74" s="7">
        <v>2017</v>
      </c>
      <c r="H74" s="7" t="str">
        <f>CONCATENATE("14270231096")</f>
        <v>14270231096</v>
      </c>
      <c r="I74" s="7" t="s">
        <v>30</v>
      </c>
      <c r="J74" s="7" t="s">
        <v>31</v>
      </c>
      <c r="K74" s="7" t="str">
        <f>CONCATENATE("")</f>
        <v/>
      </c>
      <c r="L74" s="7" t="str">
        <f>CONCATENATE("21 21.1 2a")</f>
        <v>21 21.1 2a</v>
      </c>
      <c r="M74" s="7" t="str">
        <f>CONCATENATE("DDMNLT73M68B352P")</f>
        <v>DDMNLT73M68B352P</v>
      </c>
      <c r="N74" s="7" t="s">
        <v>119</v>
      </c>
      <c r="O74" s="7" t="s">
        <v>99</v>
      </c>
      <c r="P74" s="8">
        <v>44489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7000</v>
      </c>
      <c r="W74" s="9">
        <v>3018.4</v>
      </c>
      <c r="X74" s="9">
        <v>2787.4</v>
      </c>
      <c r="Y74" s="7">
        <v>0</v>
      </c>
      <c r="Z74" s="9">
        <v>1194.2</v>
      </c>
    </row>
    <row r="75" spans="1:26" x14ac:dyDescent="0.35">
      <c r="A75" s="7" t="s">
        <v>27</v>
      </c>
      <c r="B75" s="7" t="s">
        <v>28</v>
      </c>
      <c r="C75" s="7" t="s">
        <v>43</v>
      </c>
      <c r="D75" s="7" t="s">
        <v>43</v>
      </c>
      <c r="E75" s="7" t="s">
        <v>29</v>
      </c>
      <c r="F75" s="7" t="s">
        <v>29</v>
      </c>
      <c r="G75" s="7">
        <v>2017</v>
      </c>
      <c r="H75" s="7" t="str">
        <f>CONCATENATE("14270269724")</f>
        <v>14270269724</v>
      </c>
      <c r="I75" s="7" t="s">
        <v>30</v>
      </c>
      <c r="J75" s="7" t="s">
        <v>31</v>
      </c>
      <c r="K75" s="7" t="str">
        <f>CONCATENATE("")</f>
        <v/>
      </c>
      <c r="L75" s="7" t="str">
        <f>CONCATENATE("19 19.2 6b")</f>
        <v>19 19.2 6b</v>
      </c>
      <c r="M75" s="7" t="str">
        <f>CONCATENATE("00243720430")</f>
        <v>00243720430</v>
      </c>
      <c r="N75" s="7" t="s">
        <v>120</v>
      </c>
      <c r="O75" s="7" t="s">
        <v>121</v>
      </c>
      <c r="P75" s="8">
        <v>44488</v>
      </c>
      <c r="Q75" s="7" t="s">
        <v>32</v>
      </c>
      <c r="R75" s="7" t="s">
        <v>42</v>
      </c>
      <c r="S75" s="7" t="s">
        <v>34</v>
      </c>
      <c r="T75" s="7"/>
      <c r="U75" s="7" t="s">
        <v>35</v>
      </c>
      <c r="V75" s="9">
        <v>36450</v>
      </c>
      <c r="W75" s="9">
        <v>15717.24</v>
      </c>
      <c r="X75" s="9">
        <v>14514.39</v>
      </c>
      <c r="Y75" s="7">
        <v>0</v>
      </c>
      <c r="Z75" s="9">
        <v>6218.37</v>
      </c>
    </row>
    <row r="76" spans="1:26" x14ac:dyDescent="0.35">
      <c r="A76" s="7" t="s">
        <v>27</v>
      </c>
      <c r="B76" s="7" t="s">
        <v>28</v>
      </c>
      <c r="C76" s="7" t="s">
        <v>43</v>
      </c>
      <c r="D76" s="7" t="s">
        <v>67</v>
      </c>
      <c r="E76" s="7" t="s">
        <v>29</v>
      </c>
      <c r="F76" s="7" t="s">
        <v>29</v>
      </c>
      <c r="G76" s="7">
        <v>2017</v>
      </c>
      <c r="H76" s="7" t="str">
        <f>CONCATENATE("14270283196")</f>
        <v>14270283196</v>
      </c>
      <c r="I76" s="7" t="s">
        <v>30</v>
      </c>
      <c r="J76" s="7" t="s">
        <v>31</v>
      </c>
      <c r="K76" s="7" t="str">
        <f>CONCATENATE("")</f>
        <v/>
      </c>
      <c r="L76" s="7" t="str">
        <f>CONCATENATE("1 1.2 4b")</f>
        <v>1 1.2 4b</v>
      </c>
      <c r="M76" s="7" t="str">
        <f>CONCATENATE("01491360424")</f>
        <v>01491360424</v>
      </c>
      <c r="N76" s="7" t="s">
        <v>122</v>
      </c>
      <c r="O76" s="7" t="s">
        <v>123</v>
      </c>
      <c r="P76" s="8">
        <v>44489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299564.7</v>
      </c>
      <c r="W76" s="9">
        <v>129172.3</v>
      </c>
      <c r="X76" s="9">
        <v>119286.66</v>
      </c>
      <c r="Y76" s="7">
        <v>0</v>
      </c>
      <c r="Z76" s="9">
        <v>51105.74</v>
      </c>
    </row>
    <row r="77" spans="1:26" x14ac:dyDescent="0.35">
      <c r="A77" s="7" t="s">
        <v>27</v>
      </c>
      <c r="B77" s="7" t="s">
        <v>28</v>
      </c>
      <c r="C77" s="7" t="s">
        <v>43</v>
      </c>
      <c r="D77" s="7" t="s">
        <v>91</v>
      </c>
      <c r="E77" s="7" t="s">
        <v>38</v>
      </c>
      <c r="F77" s="7" t="s">
        <v>124</v>
      </c>
      <c r="G77" s="7">
        <v>2017</v>
      </c>
      <c r="H77" s="7" t="str">
        <f>CONCATENATE("14270231237")</f>
        <v>14270231237</v>
      </c>
      <c r="I77" s="7" t="s">
        <v>30</v>
      </c>
      <c r="J77" s="7" t="s">
        <v>31</v>
      </c>
      <c r="K77" s="7" t="str">
        <f>CONCATENATE("")</f>
        <v/>
      </c>
      <c r="L77" s="7" t="str">
        <f>CONCATENATE("21 21.1 2a")</f>
        <v>21 21.1 2a</v>
      </c>
      <c r="M77" s="7" t="str">
        <f>CONCATENATE("02650750413")</f>
        <v>02650750413</v>
      </c>
      <c r="N77" s="7" t="s">
        <v>125</v>
      </c>
      <c r="O77" s="7" t="s">
        <v>99</v>
      </c>
      <c r="P77" s="8">
        <v>44489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3818.01</v>
      </c>
      <c r="W77" s="9">
        <v>1646.33</v>
      </c>
      <c r="X77" s="9">
        <v>1520.33</v>
      </c>
      <c r="Y77" s="7">
        <v>0</v>
      </c>
      <c r="Z77" s="7">
        <v>651.35</v>
      </c>
    </row>
    <row r="78" spans="1:26" ht="17.5" x14ac:dyDescent="0.35">
      <c r="A78" s="7" t="s">
        <v>27</v>
      </c>
      <c r="B78" s="7" t="s">
        <v>28</v>
      </c>
      <c r="C78" s="7" t="s">
        <v>43</v>
      </c>
      <c r="D78" s="7" t="s">
        <v>91</v>
      </c>
      <c r="E78" s="7" t="s">
        <v>37</v>
      </c>
      <c r="F78" s="7" t="s">
        <v>114</v>
      </c>
      <c r="G78" s="7">
        <v>2017</v>
      </c>
      <c r="H78" s="7" t="str">
        <f>CONCATENATE("14270231211")</f>
        <v>14270231211</v>
      </c>
      <c r="I78" s="7" t="s">
        <v>30</v>
      </c>
      <c r="J78" s="7" t="s">
        <v>31</v>
      </c>
      <c r="K78" s="7" t="str">
        <f>CONCATENATE("")</f>
        <v/>
      </c>
      <c r="L78" s="7" t="str">
        <f>CONCATENATE("21 21.1 2a")</f>
        <v>21 21.1 2a</v>
      </c>
      <c r="M78" s="7" t="str">
        <f>CONCATENATE("02050030416")</f>
        <v>02050030416</v>
      </c>
      <c r="N78" s="7" t="s">
        <v>126</v>
      </c>
      <c r="O78" s="7" t="s">
        <v>99</v>
      </c>
      <c r="P78" s="8">
        <v>44489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7000</v>
      </c>
      <c r="W78" s="9">
        <v>3018.4</v>
      </c>
      <c r="X78" s="9">
        <v>2787.4</v>
      </c>
      <c r="Y78" s="7">
        <v>0</v>
      </c>
      <c r="Z78" s="9">
        <v>1194.2</v>
      </c>
    </row>
    <row r="79" spans="1:26" x14ac:dyDescent="0.35">
      <c r="A79" s="7" t="s">
        <v>27</v>
      </c>
      <c r="B79" s="7" t="s">
        <v>28</v>
      </c>
      <c r="C79" s="7" t="s">
        <v>43</v>
      </c>
      <c r="D79" s="7" t="s">
        <v>67</v>
      </c>
      <c r="E79" s="7" t="s">
        <v>29</v>
      </c>
      <c r="F79" s="7" t="s">
        <v>29</v>
      </c>
      <c r="G79" s="7">
        <v>2017</v>
      </c>
      <c r="H79" s="7" t="str">
        <f>CONCATENATE("14270283113")</f>
        <v>14270283113</v>
      </c>
      <c r="I79" s="7" t="s">
        <v>30</v>
      </c>
      <c r="J79" s="7" t="s">
        <v>31</v>
      </c>
      <c r="K79" s="7" t="str">
        <f>CONCATENATE("")</f>
        <v/>
      </c>
      <c r="L79" s="7" t="str">
        <f>CONCATENATE("19 19.4 6b")</f>
        <v>19 19.4 6b</v>
      </c>
      <c r="M79" s="7" t="str">
        <f>CONCATENATE("01944950441")</f>
        <v>01944950441</v>
      </c>
      <c r="N79" s="7" t="s">
        <v>127</v>
      </c>
      <c r="O79" s="7" t="s">
        <v>83</v>
      </c>
      <c r="P79" s="8">
        <v>44489</v>
      </c>
      <c r="Q79" s="7" t="s">
        <v>32</v>
      </c>
      <c r="R79" s="7" t="s">
        <v>40</v>
      </c>
      <c r="S79" s="7" t="s">
        <v>34</v>
      </c>
      <c r="T79" s="7"/>
      <c r="U79" s="7" t="s">
        <v>35</v>
      </c>
      <c r="V79" s="9">
        <v>167246.68</v>
      </c>
      <c r="W79" s="9">
        <v>72116.77</v>
      </c>
      <c r="X79" s="9">
        <v>66597.63</v>
      </c>
      <c r="Y79" s="7">
        <v>0</v>
      </c>
      <c r="Z79" s="9">
        <v>28532.28</v>
      </c>
    </row>
    <row r="80" spans="1:26" x14ac:dyDescent="0.35">
      <c r="A80" s="7" t="s">
        <v>27</v>
      </c>
      <c r="B80" s="7" t="s">
        <v>28</v>
      </c>
      <c r="C80" s="7" t="s">
        <v>43</v>
      </c>
      <c r="D80" s="7" t="s">
        <v>91</v>
      </c>
      <c r="E80" s="7" t="s">
        <v>37</v>
      </c>
      <c r="F80" s="7" t="s">
        <v>114</v>
      </c>
      <c r="G80" s="7">
        <v>2017</v>
      </c>
      <c r="H80" s="7" t="str">
        <f>CONCATENATE("14270231112")</f>
        <v>14270231112</v>
      </c>
      <c r="I80" s="7" t="s">
        <v>39</v>
      </c>
      <c r="J80" s="7" t="s">
        <v>31</v>
      </c>
      <c r="K80" s="7" t="str">
        <f>CONCATENATE("")</f>
        <v/>
      </c>
      <c r="L80" s="7" t="str">
        <f>CONCATENATE("21 21.1 2a")</f>
        <v>21 21.1 2a</v>
      </c>
      <c r="M80" s="7" t="str">
        <f>CONCATENATE("01185900410")</f>
        <v>01185900410</v>
      </c>
      <c r="N80" s="7" t="s">
        <v>128</v>
      </c>
      <c r="O80" s="7" t="s">
        <v>99</v>
      </c>
      <c r="P80" s="8">
        <v>44489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7000</v>
      </c>
      <c r="W80" s="9">
        <v>3018.4</v>
      </c>
      <c r="X80" s="9">
        <v>2787.4</v>
      </c>
      <c r="Y80" s="7">
        <v>0</v>
      </c>
      <c r="Z80" s="9">
        <v>1194.2</v>
      </c>
    </row>
    <row r="81" spans="1:26" x14ac:dyDescent="0.35">
      <c r="A81" s="7" t="s">
        <v>27</v>
      </c>
      <c r="B81" s="7" t="s">
        <v>28</v>
      </c>
      <c r="C81" s="7" t="s">
        <v>43</v>
      </c>
      <c r="D81" s="7" t="s">
        <v>91</v>
      </c>
      <c r="E81" s="7" t="s">
        <v>38</v>
      </c>
      <c r="F81" s="7" t="s">
        <v>118</v>
      </c>
      <c r="G81" s="7">
        <v>2017</v>
      </c>
      <c r="H81" s="7" t="str">
        <f>CONCATENATE("14270231187")</f>
        <v>14270231187</v>
      </c>
      <c r="I81" s="7" t="s">
        <v>30</v>
      </c>
      <c r="J81" s="7" t="s">
        <v>31</v>
      </c>
      <c r="K81" s="7" t="str">
        <f>CONCATENATE("")</f>
        <v/>
      </c>
      <c r="L81" s="7" t="str">
        <f>CONCATENATE("21 21.1 2a")</f>
        <v>21 21.1 2a</v>
      </c>
      <c r="M81" s="7" t="str">
        <f>CONCATENATE("CRRPTR86P04D749C")</f>
        <v>CRRPTR86P04D749C</v>
      </c>
      <c r="N81" s="7" t="s">
        <v>129</v>
      </c>
      <c r="O81" s="7" t="s">
        <v>99</v>
      </c>
      <c r="P81" s="8">
        <v>44489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7000</v>
      </c>
      <c r="W81" s="9">
        <v>3018.4</v>
      </c>
      <c r="X81" s="9">
        <v>2787.4</v>
      </c>
      <c r="Y81" s="7">
        <v>0</v>
      </c>
      <c r="Z81" s="9">
        <v>1194.2</v>
      </c>
    </row>
    <row r="82" spans="1:26" x14ac:dyDescent="0.35">
      <c r="A82" s="7" t="s">
        <v>27</v>
      </c>
      <c r="B82" s="7" t="s">
        <v>28</v>
      </c>
      <c r="C82" s="7" t="s">
        <v>43</v>
      </c>
      <c r="D82" s="7" t="s">
        <v>91</v>
      </c>
      <c r="E82" s="7" t="s">
        <v>38</v>
      </c>
      <c r="F82" s="7" t="s">
        <v>130</v>
      </c>
      <c r="G82" s="7">
        <v>2017</v>
      </c>
      <c r="H82" s="7" t="str">
        <f>CONCATENATE("04270233754")</f>
        <v>04270233754</v>
      </c>
      <c r="I82" s="7" t="s">
        <v>30</v>
      </c>
      <c r="J82" s="7" t="s">
        <v>31</v>
      </c>
      <c r="K82" s="7" t="str">
        <f>CONCATENATE("")</f>
        <v/>
      </c>
      <c r="L82" s="7" t="str">
        <f>CONCATENATE("3 3.1 3a")</f>
        <v>3 3.1 3a</v>
      </c>
      <c r="M82" s="7" t="str">
        <f>CONCATENATE("02393390410")</f>
        <v>02393390410</v>
      </c>
      <c r="N82" s="7" t="s">
        <v>131</v>
      </c>
      <c r="O82" s="7" t="s">
        <v>132</v>
      </c>
      <c r="P82" s="8">
        <v>44488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3843.6</v>
      </c>
      <c r="W82" s="9">
        <v>1657.36</v>
      </c>
      <c r="X82" s="9">
        <v>1530.52</v>
      </c>
      <c r="Y82" s="7">
        <v>0</v>
      </c>
      <c r="Z82" s="7">
        <v>655.72</v>
      </c>
    </row>
    <row r="83" spans="1:26" x14ac:dyDescent="0.35">
      <c r="A83" s="7" t="s">
        <v>27</v>
      </c>
      <c r="B83" s="7" t="s">
        <v>28</v>
      </c>
      <c r="C83" s="7" t="s">
        <v>43</v>
      </c>
      <c r="D83" s="7" t="s">
        <v>91</v>
      </c>
      <c r="E83" s="7" t="s">
        <v>38</v>
      </c>
      <c r="F83" s="7" t="s">
        <v>130</v>
      </c>
      <c r="G83" s="7">
        <v>2017</v>
      </c>
      <c r="H83" s="7" t="str">
        <f>CONCATENATE("14270231229")</f>
        <v>14270231229</v>
      </c>
      <c r="I83" s="7" t="s">
        <v>30</v>
      </c>
      <c r="J83" s="7" t="s">
        <v>31</v>
      </c>
      <c r="K83" s="7" t="str">
        <f>CONCATENATE("")</f>
        <v/>
      </c>
      <c r="L83" s="7" t="str">
        <f>CONCATENATE("21 21.1 2a")</f>
        <v>21 21.1 2a</v>
      </c>
      <c r="M83" s="7" t="str">
        <f>CONCATENATE("GRLGNN83E25L500Q")</f>
        <v>GRLGNN83E25L500Q</v>
      </c>
      <c r="N83" s="7" t="s">
        <v>133</v>
      </c>
      <c r="O83" s="7" t="s">
        <v>99</v>
      </c>
      <c r="P83" s="8">
        <v>44489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7000</v>
      </c>
      <c r="W83" s="9">
        <v>3018.4</v>
      </c>
      <c r="X83" s="9">
        <v>2787.4</v>
      </c>
      <c r="Y83" s="7">
        <v>0</v>
      </c>
      <c r="Z83" s="9">
        <v>1194.2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25944</vt:lpwstr>
  </property>
  <property fmtid="{D5CDD505-2E9C-101B-9397-08002B2CF9AE}" pid="4" name="OptimizationTime">
    <vt:lpwstr>20211028_1057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2021-10-27T15:44:21Z</dcterms:created>
  <dcterms:modified xsi:type="dcterms:W3CDTF">2021-10-27T15:45:15Z</dcterms:modified>
</cp:coreProperties>
</file>