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65/"/>
    </mc:Choice>
  </mc:AlternateContent>
  <xr:revisionPtr revIDLastSave="0" documentId="8_{A2ED862F-431C-4B42-91B0-8BCBCE2F63CF}" xr6:coauthVersionLast="45" xr6:coauthVersionMax="45" xr10:uidLastSave="{00000000-0000-0000-0000-000000000000}"/>
  <bookViews>
    <workbookView xWindow="-110" yWindow="-110" windowWidth="19420" windowHeight="10420" xr2:uid="{2B05BB2F-CDA0-4B66-ACCA-65D68AE661F1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7" i="1" l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<sst xmlns="http://schemas.openxmlformats.org/spreadsheetml/2006/main" count="783" uniqueCount="142">
  <si>
    <t>Dettaglio Domande Pagabili Decreto 465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</si>
  <si>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</si>
  <si>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</si>
  <si>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</si>
  <si>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</si>
  <si>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</si>
  <si>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</si>
  <si>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</si>
  <si>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</si>
  <si>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</si>
  <si>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</si>
  <si>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</si>
  <si>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</si>
  <si>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</si>
  <si>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</si>
  <si>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</si>
  <si>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</si>
  <si>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</si>
  <si>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</si>
  <si>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</si>
  <si>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</si>
  <si>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</si>
  <si>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</si>
  <si>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</si>
  <si>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</si>
  <si>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</si>
  <si>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</si>
  <si>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</si>
  <si>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</si>
  <si>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</si>
  <si>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</si>
  <si>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Nuova Programmazione</t>
  </si>
  <si>
    <t>In Liquidazione</t>
  </si>
  <si>
    <t>Saldo</t>
  </si>
  <si>
    <t>Co-Finanziato</t>
  </si>
  <si>
    <t>Ordinario</t>
  </si>
  <si>
    <t>IN PROPRIO</t>
  </si>
  <si>
    <t>CAA Coldiretti srl</t>
  </si>
  <si>
    <t>CAA Confagricoltura srl</t>
  </si>
  <si>
    <t>CAA LiberiAgricoltori srl già CAA AGCI srl</t>
  </si>
  <si>
    <t>SI</t>
  </si>
  <si>
    <t>CAA-CAF AGRI S.R.L.</t>
  </si>
  <si>
    <t>Misure Strutturali</t>
  </si>
  <si>
    <t>SAL</t>
  </si>
  <si>
    <t>CAA C.A.N.A.P.A. srl</t>
  </si>
  <si>
    <t>CAA Confagricoltura - ANCONA - 001</t>
  </si>
  <si>
    <t>MARCHE</t>
  </si>
  <si>
    <t>SERV. DEC. AGRICOLTURA E ALIMENTAZIONE - ANCONA</t>
  </si>
  <si>
    <t>CAA Coldiretti - ANCONA - 004</t>
  </si>
  <si>
    <t>MARASCA ROBERTA</t>
  </si>
  <si>
    <t>AGEA.ASR.2021.0067950</t>
  </si>
  <si>
    <t>SERV. DEC. AGRICOLTURA E ALIMENTAZIONE - PESARO</t>
  </si>
  <si>
    <t>CAA Confagricoltura - PESARO E URBINO - 001</t>
  </si>
  <si>
    <t>BARCELLI DORIA</t>
  </si>
  <si>
    <t>AGEA.ASR.2021.0447197</t>
  </si>
  <si>
    <t>CECCHI LUCIA</t>
  </si>
  <si>
    <t>AGEA.ASR.2021.0856745</t>
  </si>
  <si>
    <t>SERV. DEC. AGRICOLTURA E ALIM. - MACERATA</t>
  </si>
  <si>
    <t>SOCIETA' AGRICOLA FLAMINI LORENZO E C. SOC. SEMPLICE</t>
  </si>
  <si>
    <t>AGEA.ASR.2021.0836797</t>
  </si>
  <si>
    <t>CAA LiberiAgricoltori - MACERATA - 006</t>
  </si>
  <si>
    <t>PIRISI PEPPINO</t>
  </si>
  <si>
    <t>AGEA.ASR.2021.0837393</t>
  </si>
  <si>
    <t>CAA CAF AGRI - MACERATA - 223</t>
  </si>
  <si>
    <t>PRIMUCCI SIMONE</t>
  </si>
  <si>
    <t>CAA Coldiretti - MACERATA - 017</t>
  </si>
  <si>
    <t>DOMINICI RITA</t>
  </si>
  <si>
    <t>CAA Confagricoltura - MACERATA - 001</t>
  </si>
  <si>
    <t>FONDAZIONE GIUSTINIANI BANDINI</t>
  </si>
  <si>
    <t>CAA LiberiAgricoltori - MACERATA - 001</t>
  </si>
  <si>
    <t>SOCIETA' AGRICOLA LICIA S.S.</t>
  </si>
  <si>
    <t>CAA Coldiretti - MACERATA - 018</t>
  </si>
  <si>
    <t>SOCIETA' AGRICOLA MARI MAURIZIO E C. S.S.</t>
  </si>
  <si>
    <t>MOCHI MARIO</t>
  </si>
  <si>
    <t>CAA Coldiretti - MACERATA - 007</t>
  </si>
  <si>
    <t>BARTOLINI MANUELA</t>
  </si>
  <si>
    <t>CAA LiberiAgricoltori - MACERATA - 005</t>
  </si>
  <si>
    <t>POLENTA SAMUELA</t>
  </si>
  <si>
    <t>NICCOLINI SOCIETA' AGRICOLA S.S.</t>
  </si>
  <si>
    <t>AGEA.ASR.2021.0807478</t>
  </si>
  <si>
    <t>CAA CAF AGRI - PESARO E URBINO - 221</t>
  </si>
  <si>
    <t>SOCIETA' AGRICOLA GIOVANNINI S.S.</t>
  </si>
  <si>
    <t>AGEA.ASR.2021.0658276</t>
  </si>
  <si>
    <t>SOC.AGRICOLA MAURI STEFANO E GIUSEPPE SS</t>
  </si>
  <si>
    <t>PAOLI GIANCARLO</t>
  </si>
  <si>
    <t>AGEA.ASR.2021.0648486</t>
  </si>
  <si>
    <t>MANENTI MARIO</t>
  </si>
  <si>
    <t>AGEA.ASR.2021.0836714</t>
  </si>
  <si>
    <t>CAA Coldiretti - MACERATA - 010</t>
  </si>
  <si>
    <t>BOSCOROSSO SOCIETA' AGRICOLA A R.L.</t>
  </si>
  <si>
    <t>AGEA.ASR.2021.0846629</t>
  </si>
  <si>
    <t>SCAFICCHIA LOREDANA</t>
  </si>
  <si>
    <t>AGEA.ASR.2021.0836098</t>
  </si>
  <si>
    <t>CRISPICIANI SARA</t>
  </si>
  <si>
    <t>AGEA.ASR.2021.0837388</t>
  </si>
  <si>
    <t>CAA CIA - ANCONA - 005</t>
  </si>
  <si>
    <t>VITALETTI ROBERTO</t>
  </si>
  <si>
    <t>AGEA.ASR.2021.0826218</t>
  </si>
  <si>
    <t>CAA Coldiretti - ANCONA - 006</t>
  </si>
  <si>
    <t>VITALI MORENO</t>
  </si>
  <si>
    <t>CAA Coldiretti - ANCONA - 002</t>
  </si>
  <si>
    <t>CIAPPELLONI ASSUNTA</t>
  </si>
  <si>
    <t>CAA C.A.N.A.P.A. - MACERATA - 001</t>
  </si>
  <si>
    <t>CRONOS SOCIETA' COOPERATIVA AGRICOLA ONLUS A RL</t>
  </si>
  <si>
    <t>CAA Coldiretti - ANCONA - 003</t>
  </si>
  <si>
    <t>SABBATINI ROSSETTI LUCA</t>
  </si>
  <si>
    <t>AUGUSTI ELENA</t>
  </si>
  <si>
    <t>CAA CAF AGRI - ANCONA - 228</t>
  </si>
  <si>
    <t>OTTAVIANI TERESA</t>
  </si>
  <si>
    <t>CAA Coldiretti - ANCONA - 005</t>
  </si>
  <si>
    <t>TITTONI GIOVANNI</t>
  </si>
  <si>
    <t>AGEA.ASR.2021.0860406</t>
  </si>
  <si>
    <t>SERV. DEC. AGRICOLTURA E ALIM. -ASCOLI PICENO</t>
  </si>
  <si>
    <t>DI MULO ROBERTO FILIPPO</t>
  </si>
  <si>
    <t>ANSOVINI GIUSEPPE</t>
  </si>
  <si>
    <t>AGROZOO SOCIETA' AGRICOLA SEMPLICE</t>
  </si>
  <si>
    <t>CAA Coldiretti - PESARO E URBINO - 013</t>
  </si>
  <si>
    <t>BALDUCCI GABRIELE</t>
  </si>
  <si>
    <t>MODESTI RANIERO</t>
  </si>
  <si>
    <t>SOCIETA' AGRICOLA FABRIZI VENANZO FABRIZIO E LIBERTI ENZA S.S.</t>
  </si>
  <si>
    <t>SOCIETA' AGRICOLA MAURIZI FERNANDO E ELIO S.S.</t>
  </si>
  <si>
    <t>MICHETTI ALBA</t>
  </si>
  <si>
    <t>LATINI SILVIA</t>
  </si>
  <si>
    <t>FILIPPONI GIORGIO</t>
  </si>
  <si>
    <t>AGEA.ASR.2021.0826213</t>
  </si>
  <si>
    <t>MONTALBINI MARINO</t>
  </si>
  <si>
    <t>POCOGNOLI REMIGIO</t>
  </si>
  <si>
    <t>DACI HYSEN</t>
  </si>
  <si>
    <t>CAA Confagricoltura - ASCOLI PICENO - 001</t>
  </si>
  <si>
    <t>SOCIETA' AGRICOLA L'ULIVETO DI BIANCHI DIEGO E C. S.S</t>
  </si>
  <si>
    <t>CAA CIA - ANCONA - 002</t>
  </si>
  <si>
    <t>PESARESI CLARA</t>
  </si>
  <si>
    <t>CAMPIONI DANILO</t>
  </si>
  <si>
    <t>SOCIETA' AGRICOLA LA COLLINA DEI CAVALIERI DI ROCCHI LUANA &amp; C. S OCIE</t>
  </si>
  <si>
    <t>CAA CIA - ANCONA - 004</t>
  </si>
  <si>
    <t>PACENTI CRISTIAN</t>
  </si>
  <si>
    <t>PIERELLI ROMINA</t>
  </si>
  <si>
    <t>TONTI GLORIA</t>
  </si>
  <si>
    <t>CALAMANTE GIORGIO</t>
  </si>
  <si>
    <t>ANGELONI EMANUELE</t>
  </si>
  <si>
    <t>CAA Coldiretti - ANCONA - 001</t>
  </si>
  <si>
    <t>MARINI 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</si>
</sst>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B21AB-3C08-4B3D-94E7-B67F7D5B5987}">
  <dimension ref="A1:Z57"/>
  <sheetViews>
    <sheetView showGridLines="0" tabSelected="1" workbookViewId="0">
      <selection activeCell="E61" sqref="E61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.542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46</v>
      </c>
      <c r="D4" s="7" t="s">
        <v>47</v>
      </c>
      <c r="E4" s="7" t="s">
        <v>37</v>
      </c>
      <c r="F4" s="7" t="s">
        <v>48</v>
      </c>
      <c r="G4" s="7">
        <v>2020</v>
      </c>
      <c r="H4" s="7" t="str">
        <f>CONCATENATE("04240033284")</f>
        <v>04240033284</v>
      </c>
      <c r="I4" s="7" t="s">
        <v>30</v>
      </c>
      <c r="J4" s="7" t="s">
        <v>31</v>
      </c>
      <c r="K4" s="7" t="str">
        <f>CONCATENATE("")</f>
        <v/>
      </c>
      <c r="L4" s="7" t="str">
        <f>CONCATENATE("11 11.2 4b")</f>
        <v>11 11.2 4b</v>
      </c>
      <c r="M4" s="7" t="str">
        <f>CONCATENATE("MRSRRT64C54D472X")</f>
        <v>MRSRRT64C54D472X</v>
      </c>
      <c r="N4" s="7" t="s">
        <v>49</v>
      </c>
      <c r="O4" s="7" t="s">
        <v>50</v>
      </c>
      <c r="P4" s="8">
        <v>44229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7">
        <v>439.54</v>
      </c>
      <c r="W4" s="7">
        <v>189.53</v>
      </c>
      <c r="X4" s="7">
        <v>175.02</v>
      </c>
      <c r="Y4" s="7">
        <v>0</v>
      </c>
      <c r="Z4" s="7">
        <v>74.989999999999995</v>
      </c>
    </row>
    <row r="5" spans="1:26" x14ac:dyDescent="0.35">
      <c r="A5" s="7" t="s">
        <v>27</v>
      </c>
      <c r="B5" s="7" t="s">
        <v>28</v>
      </c>
      <c r="C5" s="7" t="s">
        <v>46</v>
      </c>
      <c r="D5" s="7" t="s">
        <v>51</v>
      </c>
      <c r="E5" s="7" t="s">
        <v>38</v>
      </c>
      <c r="F5" s="7" t="s">
        <v>52</v>
      </c>
      <c r="G5" s="7">
        <v>2020</v>
      </c>
      <c r="H5" s="7" t="str">
        <f>CONCATENATE("04210488088")</f>
        <v>04210488088</v>
      </c>
      <c r="I5" s="7" t="s">
        <v>30</v>
      </c>
      <c r="J5" s="7" t="s">
        <v>31</v>
      </c>
      <c r="K5" s="7" t="str">
        <f>CONCATENATE("")</f>
        <v/>
      </c>
      <c r="L5" s="7" t="str">
        <f>CONCATENATE("13 13.1 4a")</f>
        <v>13 13.1 4a</v>
      </c>
      <c r="M5" s="7" t="str">
        <f>CONCATENATE("BRCDRO58S61D749B")</f>
        <v>BRCDRO58S61D749B</v>
      </c>
      <c r="N5" s="7" t="s">
        <v>53</v>
      </c>
      <c r="O5" s="7" t="s">
        <v>54</v>
      </c>
      <c r="P5" s="8">
        <v>44299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8999.8700000000008</v>
      </c>
      <c r="W5" s="9">
        <v>3880.74</v>
      </c>
      <c r="X5" s="9">
        <v>3583.75</v>
      </c>
      <c r="Y5" s="7">
        <v>0</v>
      </c>
      <c r="Z5" s="9">
        <v>1535.38</v>
      </c>
    </row>
    <row r="6" spans="1:26" x14ac:dyDescent="0.35">
      <c r="A6" s="7" t="s">
        <v>27</v>
      </c>
      <c r="B6" s="7" t="s">
        <v>28</v>
      </c>
      <c r="C6" s="7" t="s">
        <v>46</v>
      </c>
      <c r="D6" s="7" t="s">
        <v>51</v>
      </c>
      <c r="E6" s="7" t="s">
        <v>38</v>
      </c>
      <c r="F6" s="7" t="s">
        <v>52</v>
      </c>
      <c r="G6" s="7">
        <v>2020</v>
      </c>
      <c r="H6" s="7" t="str">
        <f>CONCATENATE("04240941049")</f>
        <v>04240941049</v>
      </c>
      <c r="I6" s="7" t="s">
        <v>40</v>
      </c>
      <c r="J6" s="7" t="s">
        <v>31</v>
      </c>
      <c r="K6" s="7" t="str">
        <f>CONCATENATE("")</f>
        <v/>
      </c>
      <c r="L6" s="7" t="str">
        <f>CONCATENATE("11 11.2 4b")</f>
        <v>11 11.2 4b</v>
      </c>
      <c r="M6" s="7" t="str">
        <f>CONCATENATE("CCCLCU79M69D488C")</f>
        <v>CCCLCU79M69D488C</v>
      </c>
      <c r="N6" s="7" t="s">
        <v>55</v>
      </c>
      <c r="O6" s="7" t="s">
        <v>56</v>
      </c>
      <c r="P6" s="8">
        <v>44370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7">
        <v>428.52</v>
      </c>
      <c r="W6" s="7">
        <v>184.78</v>
      </c>
      <c r="X6" s="7">
        <v>170.64</v>
      </c>
      <c r="Y6" s="7">
        <v>0</v>
      </c>
      <c r="Z6" s="7">
        <v>73.099999999999994</v>
      </c>
    </row>
    <row r="7" spans="1:26" x14ac:dyDescent="0.35">
      <c r="A7" s="7" t="s">
        <v>27</v>
      </c>
      <c r="B7" s="7" t="s">
        <v>42</v>
      </c>
      <c r="C7" s="7" t="s">
        <v>46</v>
      </c>
      <c r="D7" s="7" t="s">
        <v>57</v>
      </c>
      <c r="E7" s="7" t="s">
        <v>36</v>
      </c>
      <c r="F7" s="7" t="s">
        <v>36</v>
      </c>
      <c r="G7" s="7">
        <v>2017</v>
      </c>
      <c r="H7" s="7" t="str">
        <f>CONCATENATE("14270170336")</f>
        <v>14270170336</v>
      </c>
      <c r="I7" s="7" t="s">
        <v>30</v>
      </c>
      <c r="J7" s="7" t="s">
        <v>31</v>
      </c>
      <c r="K7" s="7" t="str">
        <f>CONCATENATE("")</f>
        <v/>
      </c>
      <c r="L7" s="7" t="str">
        <f>CONCATENATE("4 4.1 2a")</f>
        <v>4 4.1 2a</v>
      </c>
      <c r="M7" s="7" t="str">
        <f>CONCATENATE("01911240438")</f>
        <v>01911240438</v>
      </c>
      <c r="N7" s="7" t="s">
        <v>58</v>
      </c>
      <c r="O7" s="7" t="s">
        <v>59</v>
      </c>
      <c r="P7" s="8">
        <v>44369</v>
      </c>
      <c r="Q7" s="7" t="s">
        <v>32</v>
      </c>
      <c r="R7" s="7" t="s">
        <v>43</v>
      </c>
      <c r="S7" s="7" t="s">
        <v>34</v>
      </c>
      <c r="T7" s="7"/>
      <c r="U7" s="7" t="s">
        <v>35</v>
      </c>
      <c r="V7" s="9">
        <v>50361.17</v>
      </c>
      <c r="W7" s="9">
        <v>21715.74</v>
      </c>
      <c r="X7" s="9">
        <v>20053.82</v>
      </c>
      <c r="Y7" s="7">
        <v>0</v>
      </c>
      <c r="Z7" s="9">
        <v>8591.61</v>
      </c>
    </row>
    <row r="8" spans="1:26" x14ac:dyDescent="0.35">
      <c r="A8" s="7" t="s">
        <v>27</v>
      </c>
      <c r="B8" s="7" t="s">
        <v>28</v>
      </c>
      <c r="C8" s="7" t="s">
        <v>46</v>
      </c>
      <c r="D8" s="7" t="s">
        <v>57</v>
      </c>
      <c r="E8" s="7" t="s">
        <v>39</v>
      </c>
      <c r="F8" s="7" t="s">
        <v>60</v>
      </c>
      <c r="G8" s="7">
        <v>2020</v>
      </c>
      <c r="H8" s="7" t="str">
        <f>CONCATENATE("04240235996")</f>
        <v>04240235996</v>
      </c>
      <c r="I8" s="7" t="s">
        <v>30</v>
      </c>
      <c r="J8" s="7" t="s">
        <v>31</v>
      </c>
      <c r="K8" s="7" t="str">
        <f>CONCATENATE("")</f>
        <v/>
      </c>
      <c r="L8" s="7" t="str">
        <f>CONCATENATE("11 11.2 4b")</f>
        <v>11 11.2 4b</v>
      </c>
      <c r="M8" s="7" t="str">
        <f>CONCATENATE("PRSPPN53T07G058L")</f>
        <v>PRSPPN53T07G058L</v>
      </c>
      <c r="N8" s="7" t="s">
        <v>61</v>
      </c>
      <c r="O8" s="7" t="s">
        <v>62</v>
      </c>
      <c r="P8" s="8">
        <v>44369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2123.63</v>
      </c>
      <c r="W8" s="7">
        <v>915.71</v>
      </c>
      <c r="X8" s="7">
        <v>845.63</v>
      </c>
      <c r="Y8" s="7">
        <v>0</v>
      </c>
      <c r="Z8" s="7">
        <v>362.29</v>
      </c>
    </row>
    <row r="9" spans="1:26" x14ac:dyDescent="0.35">
      <c r="A9" s="7" t="s">
        <v>27</v>
      </c>
      <c r="B9" s="7" t="s">
        <v>28</v>
      </c>
      <c r="C9" s="7" t="s">
        <v>46</v>
      </c>
      <c r="D9" s="7" t="s">
        <v>57</v>
      </c>
      <c r="E9" s="7" t="s">
        <v>41</v>
      </c>
      <c r="F9" s="7" t="s">
        <v>63</v>
      </c>
      <c r="G9" s="7">
        <v>2020</v>
      </c>
      <c r="H9" s="7" t="str">
        <f>CONCATENATE("04240701328")</f>
        <v>04240701328</v>
      </c>
      <c r="I9" s="7" t="s">
        <v>30</v>
      </c>
      <c r="J9" s="7" t="s">
        <v>31</v>
      </c>
      <c r="K9" s="7" t="str">
        <f>CONCATENATE("")</f>
        <v/>
      </c>
      <c r="L9" s="7" t="str">
        <f>CONCATENATE("11 11.2 4b")</f>
        <v>11 11.2 4b</v>
      </c>
      <c r="M9" s="7" t="str">
        <f>CONCATENATE("PRMSMN72B22E388V")</f>
        <v>PRMSMN72B22E388V</v>
      </c>
      <c r="N9" s="7" t="s">
        <v>64</v>
      </c>
      <c r="O9" s="7" t="s">
        <v>62</v>
      </c>
      <c r="P9" s="8">
        <v>44369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1129.08</v>
      </c>
      <c r="W9" s="7">
        <v>486.86</v>
      </c>
      <c r="X9" s="7">
        <v>449.6</v>
      </c>
      <c r="Y9" s="7">
        <v>0</v>
      </c>
      <c r="Z9" s="7">
        <v>192.62</v>
      </c>
    </row>
    <row r="10" spans="1:26" x14ac:dyDescent="0.35">
      <c r="A10" s="7" t="s">
        <v>27</v>
      </c>
      <c r="B10" s="7" t="s">
        <v>28</v>
      </c>
      <c r="C10" s="7" t="s">
        <v>46</v>
      </c>
      <c r="D10" s="7" t="s">
        <v>57</v>
      </c>
      <c r="E10" s="7" t="s">
        <v>37</v>
      </c>
      <c r="F10" s="7" t="s">
        <v>65</v>
      </c>
      <c r="G10" s="7">
        <v>2020</v>
      </c>
      <c r="H10" s="7" t="str">
        <f>CONCATENATE("04240097123")</f>
        <v>04240097123</v>
      </c>
      <c r="I10" s="7" t="s">
        <v>30</v>
      </c>
      <c r="J10" s="7" t="s">
        <v>31</v>
      </c>
      <c r="K10" s="7" t="str">
        <f>CONCATENATE("")</f>
        <v/>
      </c>
      <c r="L10" s="7" t="str">
        <f>CONCATENATE("11 11.2 4b")</f>
        <v>11 11.2 4b</v>
      </c>
      <c r="M10" s="7" t="str">
        <f>CONCATENATE("DMNRTI46P66I569J")</f>
        <v>DMNRTI46P66I569J</v>
      </c>
      <c r="N10" s="7" t="s">
        <v>66</v>
      </c>
      <c r="O10" s="7" t="s">
        <v>62</v>
      </c>
      <c r="P10" s="8">
        <v>44369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17812.919999999998</v>
      </c>
      <c r="W10" s="9">
        <v>7680.93</v>
      </c>
      <c r="X10" s="9">
        <v>7093.1</v>
      </c>
      <c r="Y10" s="7">
        <v>0</v>
      </c>
      <c r="Z10" s="9">
        <v>3038.89</v>
      </c>
    </row>
    <row r="11" spans="1:26" x14ac:dyDescent="0.35">
      <c r="A11" s="7" t="s">
        <v>27</v>
      </c>
      <c r="B11" s="7" t="s">
        <v>28</v>
      </c>
      <c r="C11" s="7" t="s">
        <v>46</v>
      </c>
      <c r="D11" s="7" t="s">
        <v>57</v>
      </c>
      <c r="E11" s="7" t="s">
        <v>38</v>
      </c>
      <c r="F11" s="7" t="s">
        <v>67</v>
      </c>
      <c r="G11" s="7">
        <v>2020</v>
      </c>
      <c r="H11" s="7" t="str">
        <f>CONCATENATE("04241187832")</f>
        <v>04241187832</v>
      </c>
      <c r="I11" s="7" t="s">
        <v>30</v>
      </c>
      <c r="J11" s="7" t="s">
        <v>31</v>
      </c>
      <c r="K11" s="7" t="str">
        <f>CONCATENATE("")</f>
        <v/>
      </c>
      <c r="L11" s="7" t="str">
        <f>CONCATENATE("11 11.1 4b")</f>
        <v>11 11.1 4b</v>
      </c>
      <c r="M11" s="7" t="str">
        <f>CONCATENATE("00307260430")</f>
        <v>00307260430</v>
      </c>
      <c r="N11" s="7" t="s">
        <v>68</v>
      </c>
      <c r="O11" s="7" t="s">
        <v>62</v>
      </c>
      <c r="P11" s="8">
        <v>44369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6353.79</v>
      </c>
      <c r="W11" s="9">
        <v>2739.75</v>
      </c>
      <c r="X11" s="9">
        <v>2530.08</v>
      </c>
      <c r="Y11" s="7">
        <v>0</v>
      </c>
      <c r="Z11" s="9">
        <v>1083.96</v>
      </c>
    </row>
    <row r="12" spans="1:26" x14ac:dyDescent="0.35">
      <c r="A12" s="7" t="s">
        <v>27</v>
      </c>
      <c r="B12" s="7" t="s">
        <v>28</v>
      </c>
      <c r="C12" s="7" t="s">
        <v>46</v>
      </c>
      <c r="D12" s="7" t="s">
        <v>57</v>
      </c>
      <c r="E12" s="7" t="s">
        <v>39</v>
      </c>
      <c r="F12" s="7" t="s">
        <v>69</v>
      </c>
      <c r="G12" s="7">
        <v>2020</v>
      </c>
      <c r="H12" s="7" t="str">
        <f>CONCATENATE("04241111238")</f>
        <v>04241111238</v>
      </c>
      <c r="I12" s="7" t="s">
        <v>30</v>
      </c>
      <c r="J12" s="7" t="s">
        <v>31</v>
      </c>
      <c r="K12" s="7" t="str">
        <f>CONCATENATE("")</f>
        <v/>
      </c>
      <c r="L12" s="7" t="str">
        <f>CONCATENATE("11 11.2 4b")</f>
        <v>11 11.2 4b</v>
      </c>
      <c r="M12" s="7" t="str">
        <f>CONCATENATE("01822020432")</f>
        <v>01822020432</v>
      </c>
      <c r="N12" s="7" t="s">
        <v>70</v>
      </c>
      <c r="O12" s="7" t="s">
        <v>62</v>
      </c>
      <c r="P12" s="8">
        <v>44369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7">
        <v>704.51</v>
      </c>
      <c r="W12" s="7">
        <v>303.77999999999997</v>
      </c>
      <c r="X12" s="7">
        <v>280.54000000000002</v>
      </c>
      <c r="Y12" s="7">
        <v>0</v>
      </c>
      <c r="Z12" s="7">
        <v>120.19</v>
      </c>
    </row>
    <row r="13" spans="1:26" x14ac:dyDescent="0.35">
      <c r="A13" s="7" t="s">
        <v>27</v>
      </c>
      <c r="B13" s="7" t="s">
        <v>28</v>
      </c>
      <c r="C13" s="7" t="s">
        <v>46</v>
      </c>
      <c r="D13" s="7" t="s">
        <v>57</v>
      </c>
      <c r="E13" s="7" t="s">
        <v>37</v>
      </c>
      <c r="F13" s="7" t="s">
        <v>71</v>
      </c>
      <c r="G13" s="7">
        <v>2020</v>
      </c>
      <c r="H13" s="7" t="str">
        <f>CONCATENATE("04240412942")</f>
        <v>04240412942</v>
      </c>
      <c r="I13" s="7" t="s">
        <v>30</v>
      </c>
      <c r="J13" s="7" t="s">
        <v>31</v>
      </c>
      <c r="K13" s="7" t="str">
        <f>CONCATENATE("")</f>
        <v/>
      </c>
      <c r="L13" s="7" t="str">
        <f>CONCATENATE("11 11.2 4b")</f>
        <v>11 11.2 4b</v>
      </c>
      <c r="M13" s="7" t="str">
        <f>CONCATENATE("92000060431")</f>
        <v>92000060431</v>
      </c>
      <c r="N13" s="7" t="s">
        <v>72</v>
      </c>
      <c r="O13" s="7" t="s">
        <v>62</v>
      </c>
      <c r="P13" s="8">
        <v>44369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10462.44</v>
      </c>
      <c r="W13" s="9">
        <v>4511.3999999999996</v>
      </c>
      <c r="X13" s="9">
        <v>4166.1400000000003</v>
      </c>
      <c r="Y13" s="7">
        <v>0</v>
      </c>
      <c r="Z13" s="9">
        <v>1784.9</v>
      </c>
    </row>
    <row r="14" spans="1:26" x14ac:dyDescent="0.35">
      <c r="A14" s="7" t="s">
        <v>27</v>
      </c>
      <c r="B14" s="7" t="s">
        <v>28</v>
      </c>
      <c r="C14" s="7" t="s">
        <v>46</v>
      </c>
      <c r="D14" s="7" t="s">
        <v>57</v>
      </c>
      <c r="E14" s="7" t="s">
        <v>37</v>
      </c>
      <c r="F14" s="7" t="s">
        <v>71</v>
      </c>
      <c r="G14" s="7">
        <v>2020</v>
      </c>
      <c r="H14" s="7" t="str">
        <f>CONCATENATE("04240128613")</f>
        <v>04240128613</v>
      </c>
      <c r="I14" s="7" t="s">
        <v>30</v>
      </c>
      <c r="J14" s="7" t="s">
        <v>31</v>
      </c>
      <c r="K14" s="7" t="str">
        <f>CONCATENATE("")</f>
        <v/>
      </c>
      <c r="L14" s="7" t="str">
        <f>CONCATENATE("11 11.2 4b")</f>
        <v>11 11.2 4b</v>
      </c>
      <c r="M14" s="7" t="str">
        <f>CONCATENATE("MCHMRA32L06F268Q")</f>
        <v>MCHMRA32L06F268Q</v>
      </c>
      <c r="N14" s="7" t="s">
        <v>73</v>
      </c>
      <c r="O14" s="7" t="s">
        <v>62</v>
      </c>
      <c r="P14" s="8">
        <v>44369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7">
        <v>908.17</v>
      </c>
      <c r="W14" s="7">
        <v>391.6</v>
      </c>
      <c r="X14" s="7">
        <v>361.63</v>
      </c>
      <c r="Y14" s="7">
        <v>0</v>
      </c>
      <c r="Z14" s="7">
        <v>154.94</v>
      </c>
    </row>
    <row r="15" spans="1:26" x14ac:dyDescent="0.35">
      <c r="A15" s="7" t="s">
        <v>27</v>
      </c>
      <c r="B15" s="7" t="s">
        <v>28</v>
      </c>
      <c r="C15" s="7" t="s">
        <v>46</v>
      </c>
      <c r="D15" s="7" t="s">
        <v>57</v>
      </c>
      <c r="E15" s="7" t="s">
        <v>37</v>
      </c>
      <c r="F15" s="7" t="s">
        <v>74</v>
      </c>
      <c r="G15" s="7">
        <v>2020</v>
      </c>
      <c r="H15" s="7" t="str">
        <f>CONCATENATE("04241136615")</f>
        <v>04241136615</v>
      </c>
      <c r="I15" s="7" t="s">
        <v>30</v>
      </c>
      <c r="J15" s="7" t="s">
        <v>31</v>
      </c>
      <c r="K15" s="7" t="str">
        <f>CONCATENATE("")</f>
        <v/>
      </c>
      <c r="L15" s="7" t="str">
        <f>CONCATENATE("11 11.2 4b")</f>
        <v>11 11.2 4b</v>
      </c>
      <c r="M15" s="7" t="str">
        <f>CONCATENATE("BRTMNL69L44E783V")</f>
        <v>BRTMNL69L44E783V</v>
      </c>
      <c r="N15" s="7" t="s">
        <v>75</v>
      </c>
      <c r="O15" s="7" t="s">
        <v>62</v>
      </c>
      <c r="P15" s="8">
        <v>44369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1808.94</v>
      </c>
      <c r="W15" s="7">
        <v>780.01</v>
      </c>
      <c r="X15" s="7">
        <v>720.32</v>
      </c>
      <c r="Y15" s="7">
        <v>0</v>
      </c>
      <c r="Z15" s="7">
        <v>308.61</v>
      </c>
    </row>
    <row r="16" spans="1:26" x14ac:dyDescent="0.35">
      <c r="A16" s="7" t="s">
        <v>27</v>
      </c>
      <c r="B16" s="7" t="s">
        <v>28</v>
      </c>
      <c r="C16" s="7" t="s">
        <v>46</v>
      </c>
      <c r="D16" s="7" t="s">
        <v>57</v>
      </c>
      <c r="E16" s="7" t="s">
        <v>39</v>
      </c>
      <c r="F16" s="7" t="s">
        <v>76</v>
      </c>
      <c r="G16" s="7">
        <v>2020</v>
      </c>
      <c r="H16" s="7" t="str">
        <f>CONCATENATE("04240932204")</f>
        <v>04240932204</v>
      </c>
      <c r="I16" s="7" t="s">
        <v>30</v>
      </c>
      <c r="J16" s="7" t="s">
        <v>31</v>
      </c>
      <c r="K16" s="7" t="str">
        <f>CONCATENATE("")</f>
        <v/>
      </c>
      <c r="L16" s="7" t="str">
        <f>CONCATENATE("11 11.2 4b")</f>
        <v>11 11.2 4b</v>
      </c>
      <c r="M16" s="7" t="str">
        <f>CONCATENATE("PLNSML74D70L366A")</f>
        <v>PLNSML74D70L366A</v>
      </c>
      <c r="N16" s="7" t="s">
        <v>77</v>
      </c>
      <c r="O16" s="7" t="s">
        <v>62</v>
      </c>
      <c r="P16" s="8">
        <v>44369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50833.15</v>
      </c>
      <c r="W16" s="9">
        <v>21919.25</v>
      </c>
      <c r="X16" s="9">
        <v>20241.759999999998</v>
      </c>
      <c r="Y16" s="7">
        <v>0</v>
      </c>
      <c r="Z16" s="9">
        <v>8672.14</v>
      </c>
    </row>
    <row r="17" spans="1:26" x14ac:dyDescent="0.35">
      <c r="A17" s="7" t="s">
        <v>27</v>
      </c>
      <c r="B17" s="7" t="s">
        <v>42</v>
      </c>
      <c r="C17" s="7" t="s">
        <v>46</v>
      </c>
      <c r="D17" s="7" t="s">
        <v>47</v>
      </c>
      <c r="E17" s="7" t="s">
        <v>36</v>
      </c>
      <c r="F17" s="7" t="s">
        <v>36</v>
      </c>
      <c r="G17" s="7">
        <v>2017</v>
      </c>
      <c r="H17" s="7" t="str">
        <f>CONCATENATE("14270166102")</f>
        <v>14270166102</v>
      </c>
      <c r="I17" s="7" t="s">
        <v>30</v>
      </c>
      <c r="J17" s="7" t="s">
        <v>31</v>
      </c>
      <c r="K17" s="7" t="str">
        <f>CONCATENATE("")</f>
        <v/>
      </c>
      <c r="L17" s="7" t="str">
        <f>CONCATENATE("21 21.1 2a")</f>
        <v>21 21.1 2a</v>
      </c>
      <c r="M17" s="7" t="str">
        <f>CONCATENATE("02391960420")</f>
        <v>02391960420</v>
      </c>
      <c r="N17" s="7" t="s">
        <v>78</v>
      </c>
      <c r="O17" s="7" t="s">
        <v>79</v>
      </c>
      <c r="P17" s="8">
        <v>44368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7000</v>
      </c>
      <c r="W17" s="9">
        <v>3018.4</v>
      </c>
      <c r="X17" s="9">
        <v>2787.4</v>
      </c>
      <c r="Y17" s="7">
        <v>0</v>
      </c>
      <c r="Z17" s="9">
        <v>1194.2</v>
      </c>
    </row>
    <row r="18" spans="1:26" x14ac:dyDescent="0.35">
      <c r="A18" s="7" t="s">
        <v>27</v>
      </c>
      <c r="B18" s="7" t="s">
        <v>28</v>
      </c>
      <c r="C18" s="7" t="s">
        <v>46</v>
      </c>
      <c r="D18" s="7" t="s">
        <v>51</v>
      </c>
      <c r="E18" s="7" t="s">
        <v>41</v>
      </c>
      <c r="F18" s="7" t="s">
        <v>80</v>
      </c>
      <c r="G18" s="7">
        <v>2020</v>
      </c>
      <c r="H18" s="7" t="str">
        <f>CONCATENATE("04210889491")</f>
        <v>04210889491</v>
      </c>
      <c r="I18" s="7" t="s">
        <v>30</v>
      </c>
      <c r="J18" s="7" t="s">
        <v>31</v>
      </c>
      <c r="K18" s="7" t="str">
        <f>CONCATENATE("")</f>
        <v/>
      </c>
      <c r="L18" s="7" t="str">
        <f>CONCATENATE("13 13.1 4a")</f>
        <v>13 13.1 4a</v>
      </c>
      <c r="M18" s="7" t="str">
        <f>CONCATENATE("02565520414")</f>
        <v>02565520414</v>
      </c>
      <c r="N18" s="7" t="s">
        <v>81</v>
      </c>
      <c r="O18" s="7" t="s">
        <v>82</v>
      </c>
      <c r="P18" s="8">
        <v>44334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5074.51</v>
      </c>
      <c r="W18" s="9">
        <v>2188.13</v>
      </c>
      <c r="X18" s="9">
        <v>2020.67</v>
      </c>
      <c r="Y18" s="7">
        <v>0</v>
      </c>
      <c r="Z18" s="7">
        <v>865.71</v>
      </c>
    </row>
    <row r="19" spans="1:26" x14ac:dyDescent="0.35">
      <c r="A19" s="7" t="s">
        <v>27</v>
      </c>
      <c r="B19" s="7" t="s">
        <v>28</v>
      </c>
      <c r="C19" s="7" t="s">
        <v>46</v>
      </c>
      <c r="D19" s="7" t="s">
        <v>51</v>
      </c>
      <c r="E19" s="7" t="s">
        <v>41</v>
      </c>
      <c r="F19" s="7" t="s">
        <v>80</v>
      </c>
      <c r="G19" s="7">
        <v>2020</v>
      </c>
      <c r="H19" s="7" t="str">
        <f>CONCATENATE("04210776045")</f>
        <v>04210776045</v>
      </c>
      <c r="I19" s="7" t="s">
        <v>30</v>
      </c>
      <c r="J19" s="7" t="s">
        <v>31</v>
      </c>
      <c r="K19" s="7" t="str">
        <f>CONCATENATE("")</f>
        <v/>
      </c>
      <c r="L19" s="7" t="str">
        <f>CONCATENATE("13 13.1 4a")</f>
        <v>13 13.1 4a</v>
      </c>
      <c r="M19" s="7" t="str">
        <f>CONCATENATE("01103310411")</f>
        <v>01103310411</v>
      </c>
      <c r="N19" s="7" t="s">
        <v>83</v>
      </c>
      <c r="O19" s="7" t="s">
        <v>82</v>
      </c>
      <c r="P19" s="8">
        <v>44334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7432.83</v>
      </c>
      <c r="W19" s="9">
        <v>3205.04</v>
      </c>
      <c r="X19" s="9">
        <v>2959.75</v>
      </c>
      <c r="Y19" s="7">
        <v>0</v>
      </c>
      <c r="Z19" s="9">
        <v>1268.04</v>
      </c>
    </row>
    <row r="20" spans="1:26" x14ac:dyDescent="0.35">
      <c r="A20" s="7" t="s">
        <v>27</v>
      </c>
      <c r="B20" s="7" t="s">
        <v>28</v>
      </c>
      <c r="C20" s="7" t="s">
        <v>46</v>
      </c>
      <c r="D20" s="7" t="s">
        <v>51</v>
      </c>
      <c r="E20" s="7" t="s">
        <v>41</v>
      </c>
      <c r="F20" s="7" t="s">
        <v>80</v>
      </c>
      <c r="G20" s="7">
        <v>2020</v>
      </c>
      <c r="H20" s="7" t="str">
        <f>CONCATENATE("04210731008")</f>
        <v>04210731008</v>
      </c>
      <c r="I20" s="7" t="s">
        <v>30</v>
      </c>
      <c r="J20" s="7" t="s">
        <v>31</v>
      </c>
      <c r="K20" s="7" t="str">
        <f>CONCATENATE("")</f>
        <v/>
      </c>
      <c r="L20" s="7" t="str">
        <f>CONCATENATE("13 13.1 4a")</f>
        <v>13 13.1 4a</v>
      </c>
      <c r="M20" s="7" t="str">
        <f>CONCATENATE("PLAGCR47H24I459A")</f>
        <v>PLAGCR47H24I459A</v>
      </c>
      <c r="N20" s="7" t="s">
        <v>84</v>
      </c>
      <c r="O20" s="7" t="s">
        <v>85</v>
      </c>
      <c r="P20" s="8">
        <v>44334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3877.97</v>
      </c>
      <c r="W20" s="9">
        <v>1672.18</v>
      </c>
      <c r="X20" s="9">
        <v>1544.21</v>
      </c>
      <c r="Y20" s="7">
        <v>0</v>
      </c>
      <c r="Z20" s="7">
        <v>661.58</v>
      </c>
    </row>
    <row r="21" spans="1:26" ht="17.5" x14ac:dyDescent="0.35">
      <c r="A21" s="7" t="s">
        <v>27</v>
      </c>
      <c r="B21" s="7" t="s">
        <v>28</v>
      </c>
      <c r="C21" s="7" t="s">
        <v>46</v>
      </c>
      <c r="D21" s="7" t="s">
        <v>51</v>
      </c>
      <c r="E21" s="7" t="s">
        <v>41</v>
      </c>
      <c r="F21" s="7" t="s">
        <v>80</v>
      </c>
      <c r="G21" s="7">
        <v>2020</v>
      </c>
      <c r="H21" s="7" t="str">
        <f>CONCATENATE("04210463438")</f>
        <v>04210463438</v>
      </c>
      <c r="I21" s="7" t="s">
        <v>30</v>
      </c>
      <c r="J21" s="7" t="s">
        <v>31</v>
      </c>
      <c r="K21" s="7" t="str">
        <f>CONCATENATE("")</f>
        <v/>
      </c>
      <c r="L21" s="7" t="str">
        <f>CONCATENATE("13 13.1 4a")</f>
        <v>13 13.1 4a</v>
      </c>
      <c r="M21" s="7" t="str">
        <f>CONCATENATE("MNNMRA45R25E743K")</f>
        <v>MNNMRA45R25E743K</v>
      </c>
      <c r="N21" s="7" t="s">
        <v>86</v>
      </c>
      <c r="O21" s="7" t="s">
        <v>85</v>
      </c>
      <c r="P21" s="8">
        <v>44334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7">
        <v>358.6</v>
      </c>
      <c r="W21" s="7">
        <v>154.63</v>
      </c>
      <c r="X21" s="7">
        <v>142.79</v>
      </c>
      <c r="Y21" s="7">
        <v>0</v>
      </c>
      <c r="Z21" s="7">
        <v>61.18</v>
      </c>
    </row>
    <row r="22" spans="1:26" x14ac:dyDescent="0.35">
      <c r="A22" s="7" t="s">
        <v>27</v>
      </c>
      <c r="B22" s="7" t="s">
        <v>42</v>
      </c>
      <c r="C22" s="7" t="s">
        <v>46</v>
      </c>
      <c r="D22" s="7" t="s">
        <v>57</v>
      </c>
      <c r="E22" s="7" t="s">
        <v>36</v>
      </c>
      <c r="F22" s="7" t="s">
        <v>36</v>
      </c>
      <c r="G22" s="7">
        <v>2017</v>
      </c>
      <c r="H22" s="7" t="str">
        <f>CONCATENATE("14270170328")</f>
        <v>14270170328</v>
      </c>
      <c r="I22" s="7" t="s">
        <v>30</v>
      </c>
      <c r="J22" s="7" t="s">
        <v>31</v>
      </c>
      <c r="K22" s="7" t="str">
        <f>CONCATENATE("")</f>
        <v/>
      </c>
      <c r="L22" s="7" t="str">
        <f>CONCATENATE("6 6.4 2a")</f>
        <v>6 6.4 2a</v>
      </c>
      <c r="M22" s="7" t="str">
        <f>CONCATENATE("01911240438")</f>
        <v>01911240438</v>
      </c>
      <c r="N22" s="7" t="s">
        <v>58</v>
      </c>
      <c r="O22" s="7" t="s">
        <v>87</v>
      </c>
      <c r="P22" s="8">
        <v>44369</v>
      </c>
      <c r="Q22" s="7" t="s">
        <v>32</v>
      </c>
      <c r="R22" s="7" t="s">
        <v>43</v>
      </c>
      <c r="S22" s="7" t="s">
        <v>34</v>
      </c>
      <c r="T22" s="7"/>
      <c r="U22" s="7" t="s">
        <v>35</v>
      </c>
      <c r="V22" s="9">
        <v>59604.25</v>
      </c>
      <c r="W22" s="9">
        <v>25701.35</v>
      </c>
      <c r="X22" s="9">
        <v>23734.41</v>
      </c>
      <c r="Y22" s="7">
        <v>0</v>
      </c>
      <c r="Z22" s="9">
        <v>10168.49</v>
      </c>
    </row>
    <row r="23" spans="1:26" x14ac:dyDescent="0.35">
      <c r="A23" s="7" t="s">
        <v>27</v>
      </c>
      <c r="B23" s="7" t="s">
        <v>28</v>
      </c>
      <c r="C23" s="7" t="s">
        <v>46</v>
      </c>
      <c r="D23" s="7" t="s">
        <v>57</v>
      </c>
      <c r="E23" s="7" t="s">
        <v>37</v>
      </c>
      <c r="F23" s="7" t="s">
        <v>88</v>
      </c>
      <c r="G23" s="7">
        <v>2020</v>
      </c>
      <c r="H23" s="7" t="str">
        <f>CONCATENATE("04241074014")</f>
        <v>04241074014</v>
      </c>
      <c r="I23" s="7" t="s">
        <v>30</v>
      </c>
      <c r="J23" s="7" t="s">
        <v>31</v>
      </c>
      <c r="K23" s="7" t="str">
        <f>CONCATENATE("")</f>
        <v/>
      </c>
      <c r="L23" s="7" t="str">
        <f>CONCATENATE("14 14.1 3a")</f>
        <v>14 14.1 3a</v>
      </c>
      <c r="M23" s="7" t="str">
        <f>CONCATENATE("00878080431")</f>
        <v>00878080431</v>
      </c>
      <c r="N23" s="7" t="s">
        <v>89</v>
      </c>
      <c r="O23" s="7" t="s">
        <v>90</v>
      </c>
      <c r="P23" s="8">
        <v>44370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6263.73</v>
      </c>
      <c r="W23" s="9">
        <v>2700.92</v>
      </c>
      <c r="X23" s="9">
        <v>2494.2199999999998</v>
      </c>
      <c r="Y23" s="7">
        <v>0</v>
      </c>
      <c r="Z23" s="9">
        <v>1068.5899999999999</v>
      </c>
    </row>
    <row r="24" spans="1:26" x14ac:dyDescent="0.35">
      <c r="A24" s="7" t="s">
        <v>27</v>
      </c>
      <c r="B24" s="7" t="s">
        <v>28</v>
      </c>
      <c r="C24" s="7" t="s">
        <v>46</v>
      </c>
      <c r="D24" s="7" t="s">
        <v>57</v>
      </c>
      <c r="E24" s="7" t="s">
        <v>37</v>
      </c>
      <c r="F24" s="7" t="s">
        <v>65</v>
      </c>
      <c r="G24" s="7">
        <v>2020</v>
      </c>
      <c r="H24" s="7" t="str">
        <f>CONCATENATE("04210088813")</f>
        <v>04210088813</v>
      </c>
      <c r="I24" s="7" t="s">
        <v>30</v>
      </c>
      <c r="J24" s="7" t="s">
        <v>31</v>
      </c>
      <c r="K24" s="7" t="str">
        <f>CONCATENATE("")</f>
        <v/>
      </c>
      <c r="L24" s="7" t="str">
        <f>CONCATENATE("13 13.1 4a")</f>
        <v>13 13.1 4a</v>
      </c>
      <c r="M24" s="7" t="str">
        <f>CONCATENATE("SCFLDN48A59A947O")</f>
        <v>SCFLDN48A59A947O</v>
      </c>
      <c r="N24" s="7" t="s">
        <v>91</v>
      </c>
      <c r="O24" s="7" t="s">
        <v>92</v>
      </c>
      <c r="P24" s="8">
        <v>44369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1988.48</v>
      </c>
      <c r="W24" s="7">
        <v>857.43</v>
      </c>
      <c r="X24" s="7">
        <v>791.81</v>
      </c>
      <c r="Y24" s="7">
        <v>0</v>
      </c>
      <c r="Z24" s="7">
        <v>339.24</v>
      </c>
    </row>
    <row r="25" spans="1:26" x14ac:dyDescent="0.35">
      <c r="A25" s="7" t="s">
        <v>27</v>
      </c>
      <c r="B25" s="7" t="s">
        <v>28</v>
      </c>
      <c r="C25" s="7" t="s">
        <v>46</v>
      </c>
      <c r="D25" s="7" t="s">
        <v>57</v>
      </c>
      <c r="E25" s="7" t="s">
        <v>37</v>
      </c>
      <c r="F25" s="7" t="s">
        <v>65</v>
      </c>
      <c r="G25" s="7">
        <v>2020</v>
      </c>
      <c r="H25" s="7" t="str">
        <f>CONCATENATE("04240191751")</f>
        <v>04240191751</v>
      </c>
      <c r="I25" s="7" t="s">
        <v>30</v>
      </c>
      <c r="J25" s="7" t="s">
        <v>31</v>
      </c>
      <c r="K25" s="7" t="str">
        <f>CONCATENATE("")</f>
        <v/>
      </c>
      <c r="L25" s="7" t="str">
        <f>CONCATENATE("10 10.1 4a")</f>
        <v>10 10.1 4a</v>
      </c>
      <c r="M25" s="7" t="str">
        <f>CONCATENATE("CRSSRA89H64B474Q")</f>
        <v>CRSSRA89H64B474Q</v>
      </c>
      <c r="N25" s="7" t="s">
        <v>93</v>
      </c>
      <c r="O25" s="7" t="s">
        <v>94</v>
      </c>
      <c r="P25" s="8">
        <v>44369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7">
        <v>336</v>
      </c>
      <c r="W25" s="7">
        <v>144.88</v>
      </c>
      <c r="X25" s="7">
        <v>133.80000000000001</v>
      </c>
      <c r="Y25" s="7">
        <v>0</v>
      </c>
      <c r="Z25" s="7">
        <v>57.32</v>
      </c>
    </row>
    <row r="26" spans="1:26" x14ac:dyDescent="0.35">
      <c r="A26" s="7" t="s">
        <v>27</v>
      </c>
      <c r="B26" s="7" t="s">
        <v>28</v>
      </c>
      <c r="C26" s="7" t="s">
        <v>46</v>
      </c>
      <c r="D26" s="7" t="s">
        <v>47</v>
      </c>
      <c r="E26" s="7" t="s">
        <v>29</v>
      </c>
      <c r="F26" s="7" t="s">
        <v>95</v>
      </c>
      <c r="G26" s="7">
        <v>2020</v>
      </c>
      <c r="H26" s="7" t="str">
        <f>CONCATENATE("04240554636")</f>
        <v>04240554636</v>
      </c>
      <c r="I26" s="7" t="s">
        <v>30</v>
      </c>
      <c r="J26" s="7" t="s">
        <v>31</v>
      </c>
      <c r="K26" s="7" t="str">
        <f>CONCATENATE("")</f>
        <v/>
      </c>
      <c r="L26" s="7" t="str">
        <f>CONCATENATE("11 11.2 4b")</f>
        <v>11 11.2 4b</v>
      </c>
      <c r="M26" s="7" t="str">
        <f>CONCATENATE("VTLRRT61R21I461W")</f>
        <v>VTLRRT61R21I461W</v>
      </c>
      <c r="N26" s="7" t="s">
        <v>96</v>
      </c>
      <c r="O26" s="7" t="s">
        <v>97</v>
      </c>
      <c r="P26" s="8">
        <v>44369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7">
        <v>597.55999999999995</v>
      </c>
      <c r="W26" s="7">
        <v>257.67</v>
      </c>
      <c r="X26" s="7">
        <v>237.95</v>
      </c>
      <c r="Y26" s="7">
        <v>0</v>
      </c>
      <c r="Z26" s="7">
        <v>101.94</v>
      </c>
    </row>
    <row r="27" spans="1:26" x14ac:dyDescent="0.35">
      <c r="A27" s="7" t="s">
        <v>27</v>
      </c>
      <c r="B27" s="7" t="s">
        <v>28</v>
      </c>
      <c r="C27" s="7" t="s">
        <v>46</v>
      </c>
      <c r="D27" s="7" t="s">
        <v>47</v>
      </c>
      <c r="E27" s="7" t="s">
        <v>37</v>
      </c>
      <c r="F27" s="7" t="s">
        <v>98</v>
      </c>
      <c r="G27" s="7">
        <v>2020</v>
      </c>
      <c r="H27" s="7" t="str">
        <f>CONCATENATE("04240012122")</f>
        <v>04240012122</v>
      </c>
      <c r="I27" s="7" t="s">
        <v>30</v>
      </c>
      <c r="J27" s="7" t="s">
        <v>31</v>
      </c>
      <c r="K27" s="7" t="str">
        <f>CONCATENATE("")</f>
        <v/>
      </c>
      <c r="L27" s="7" t="str">
        <f>CONCATENATE("11 11.2 4b")</f>
        <v>11 11.2 4b</v>
      </c>
      <c r="M27" s="7" t="str">
        <f>CONCATENATE("VTLMRN52D30D211X")</f>
        <v>VTLMRN52D30D211X</v>
      </c>
      <c r="N27" s="7" t="s">
        <v>99</v>
      </c>
      <c r="O27" s="7" t="s">
        <v>97</v>
      </c>
      <c r="P27" s="8">
        <v>44369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1305.1500000000001</v>
      </c>
      <c r="W27" s="7">
        <v>562.78</v>
      </c>
      <c r="X27" s="7">
        <v>519.71</v>
      </c>
      <c r="Y27" s="7">
        <v>0</v>
      </c>
      <c r="Z27" s="7">
        <v>222.66</v>
      </c>
    </row>
    <row r="28" spans="1:26" x14ac:dyDescent="0.35">
      <c r="A28" s="7" t="s">
        <v>27</v>
      </c>
      <c r="B28" s="7" t="s">
        <v>28</v>
      </c>
      <c r="C28" s="7" t="s">
        <v>46</v>
      </c>
      <c r="D28" s="7" t="s">
        <v>47</v>
      </c>
      <c r="E28" s="7" t="s">
        <v>37</v>
      </c>
      <c r="F28" s="7" t="s">
        <v>100</v>
      </c>
      <c r="G28" s="7">
        <v>2020</v>
      </c>
      <c r="H28" s="7" t="str">
        <f>CONCATENATE("04240844433")</f>
        <v>04240844433</v>
      </c>
      <c r="I28" s="7" t="s">
        <v>30</v>
      </c>
      <c r="J28" s="7" t="s">
        <v>31</v>
      </c>
      <c r="K28" s="7" t="str">
        <f>CONCATENATE("")</f>
        <v/>
      </c>
      <c r="L28" s="7" t="str">
        <f>CONCATENATE("11 11.1 4b")</f>
        <v>11 11.1 4b</v>
      </c>
      <c r="M28" s="7" t="str">
        <f>CONCATENATE("CPPSNT59L46D451M")</f>
        <v>CPPSNT59L46D451M</v>
      </c>
      <c r="N28" s="7" t="s">
        <v>101</v>
      </c>
      <c r="O28" s="7" t="s">
        <v>97</v>
      </c>
      <c r="P28" s="8">
        <v>44369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7">
        <v>304.06</v>
      </c>
      <c r="W28" s="7">
        <v>131.11000000000001</v>
      </c>
      <c r="X28" s="7">
        <v>121.08</v>
      </c>
      <c r="Y28" s="7">
        <v>0</v>
      </c>
      <c r="Z28" s="7">
        <v>51.87</v>
      </c>
    </row>
    <row r="29" spans="1:26" x14ac:dyDescent="0.35">
      <c r="A29" s="7" t="s">
        <v>27</v>
      </c>
      <c r="B29" s="7" t="s">
        <v>28</v>
      </c>
      <c r="C29" s="7" t="s">
        <v>46</v>
      </c>
      <c r="D29" s="7" t="s">
        <v>47</v>
      </c>
      <c r="E29" s="7" t="s">
        <v>44</v>
      </c>
      <c r="F29" s="7" t="s">
        <v>102</v>
      </c>
      <c r="G29" s="7">
        <v>2020</v>
      </c>
      <c r="H29" s="7" t="str">
        <f>CONCATENATE("04241140542")</f>
        <v>04241140542</v>
      </c>
      <c r="I29" s="7" t="s">
        <v>30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CONCATENATE("02846110423")</f>
        <v>02846110423</v>
      </c>
      <c r="N29" s="7" t="s">
        <v>103</v>
      </c>
      <c r="O29" s="7" t="s">
        <v>97</v>
      </c>
      <c r="P29" s="8">
        <v>44369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6200.71</v>
      </c>
      <c r="W29" s="9">
        <v>2673.75</v>
      </c>
      <c r="X29" s="9">
        <v>2469.12</v>
      </c>
      <c r="Y29" s="7">
        <v>0</v>
      </c>
      <c r="Z29" s="9">
        <v>1057.8399999999999</v>
      </c>
    </row>
    <row r="30" spans="1:26" x14ac:dyDescent="0.35">
      <c r="A30" s="7" t="s">
        <v>27</v>
      </c>
      <c r="B30" s="7" t="s">
        <v>28</v>
      </c>
      <c r="C30" s="7" t="s">
        <v>46</v>
      </c>
      <c r="D30" s="7" t="s">
        <v>47</v>
      </c>
      <c r="E30" s="7" t="s">
        <v>37</v>
      </c>
      <c r="F30" s="7" t="s">
        <v>104</v>
      </c>
      <c r="G30" s="7">
        <v>2018</v>
      </c>
      <c r="H30" s="7" t="str">
        <f>CONCATENATE("84241210818")</f>
        <v>84241210818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CONCATENATE("SBBLCU79L21E388P")</f>
        <v>SBBLCU79L21E388P</v>
      </c>
      <c r="N30" s="7" t="s">
        <v>105</v>
      </c>
      <c r="O30" s="7" t="s">
        <v>97</v>
      </c>
      <c r="P30" s="8">
        <v>44369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15103.19</v>
      </c>
      <c r="W30" s="9">
        <v>6512.5</v>
      </c>
      <c r="X30" s="9">
        <v>6014.09</v>
      </c>
      <c r="Y30" s="7">
        <v>0</v>
      </c>
      <c r="Z30" s="9">
        <v>2576.6</v>
      </c>
    </row>
    <row r="31" spans="1:26" x14ac:dyDescent="0.35">
      <c r="A31" s="7" t="s">
        <v>27</v>
      </c>
      <c r="B31" s="7" t="s">
        <v>28</v>
      </c>
      <c r="C31" s="7" t="s">
        <v>46</v>
      </c>
      <c r="D31" s="7" t="s">
        <v>47</v>
      </c>
      <c r="E31" s="7" t="s">
        <v>38</v>
      </c>
      <c r="F31" s="7" t="s">
        <v>45</v>
      </c>
      <c r="G31" s="7">
        <v>2020</v>
      </c>
      <c r="H31" s="7" t="str">
        <f>CONCATENATE("04241046350")</f>
        <v>04241046350</v>
      </c>
      <c r="I31" s="7" t="s">
        <v>30</v>
      </c>
      <c r="J31" s="7" t="s">
        <v>31</v>
      </c>
      <c r="K31" s="7" t="str">
        <f>CONCATENATE("")</f>
        <v/>
      </c>
      <c r="L31" s="7" t="str">
        <f>CONCATENATE("11 11.2 4b")</f>
        <v>11 11.2 4b</v>
      </c>
      <c r="M31" s="7" t="str">
        <f>CONCATENATE("GSTLNE37E55F205Q")</f>
        <v>GSTLNE37E55F205Q</v>
      </c>
      <c r="N31" s="7" t="s">
        <v>106</v>
      </c>
      <c r="O31" s="7" t="s">
        <v>97</v>
      </c>
      <c r="P31" s="8">
        <v>44369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7">
        <v>274.56</v>
      </c>
      <c r="W31" s="7">
        <v>118.39</v>
      </c>
      <c r="X31" s="7">
        <v>109.33</v>
      </c>
      <c r="Y31" s="7">
        <v>0</v>
      </c>
      <c r="Z31" s="7">
        <v>46.84</v>
      </c>
    </row>
    <row r="32" spans="1:26" x14ac:dyDescent="0.35">
      <c r="A32" s="7" t="s">
        <v>27</v>
      </c>
      <c r="B32" s="7" t="s">
        <v>28</v>
      </c>
      <c r="C32" s="7" t="s">
        <v>46</v>
      </c>
      <c r="D32" s="7" t="s">
        <v>47</v>
      </c>
      <c r="E32" s="7" t="s">
        <v>41</v>
      </c>
      <c r="F32" s="7" t="s">
        <v>107</v>
      </c>
      <c r="G32" s="7">
        <v>2016</v>
      </c>
      <c r="H32" s="7" t="str">
        <f>CONCATENATE("64240266177")</f>
        <v>64240266177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11.2 4b")</f>
        <v>11 11.2 4b</v>
      </c>
      <c r="M32" s="7" t="str">
        <f>CONCATENATE("TTVTRS52R45I461V")</f>
        <v>TTVTRS52R45I461V</v>
      </c>
      <c r="N32" s="7" t="s">
        <v>108</v>
      </c>
      <c r="O32" s="7" t="s">
        <v>97</v>
      </c>
      <c r="P32" s="8">
        <v>44369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3802.93</v>
      </c>
      <c r="W32" s="9">
        <v>1639.82</v>
      </c>
      <c r="X32" s="9">
        <v>1514.33</v>
      </c>
      <c r="Y32" s="7">
        <v>0</v>
      </c>
      <c r="Z32" s="7">
        <v>648.78</v>
      </c>
    </row>
    <row r="33" spans="1:26" x14ac:dyDescent="0.35">
      <c r="A33" s="7" t="s">
        <v>27</v>
      </c>
      <c r="B33" s="7" t="s">
        <v>28</v>
      </c>
      <c r="C33" s="7" t="s">
        <v>46</v>
      </c>
      <c r="D33" s="7" t="s">
        <v>47</v>
      </c>
      <c r="E33" s="7" t="s">
        <v>37</v>
      </c>
      <c r="F33" s="7" t="s">
        <v>109</v>
      </c>
      <c r="G33" s="7">
        <v>2020</v>
      </c>
      <c r="H33" s="7" t="str">
        <f>CONCATENATE("04240126914")</f>
        <v>04240126914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11.1 4b")</f>
        <v>11 11.1 4b</v>
      </c>
      <c r="M33" s="7" t="str">
        <f>CONCATENATE("TTTGNN61H01I461M")</f>
        <v>TTTGNN61H01I461M</v>
      </c>
      <c r="N33" s="7" t="s">
        <v>110</v>
      </c>
      <c r="O33" s="7" t="s">
        <v>111</v>
      </c>
      <c r="P33" s="8">
        <v>44370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4676.97</v>
      </c>
      <c r="W33" s="9">
        <v>2016.71</v>
      </c>
      <c r="X33" s="9">
        <v>1862.37</v>
      </c>
      <c r="Y33" s="7">
        <v>0</v>
      </c>
      <c r="Z33" s="7">
        <v>797.89</v>
      </c>
    </row>
    <row r="34" spans="1:26" x14ac:dyDescent="0.35">
      <c r="A34" s="7" t="s">
        <v>27</v>
      </c>
      <c r="B34" s="7" t="s">
        <v>28</v>
      </c>
      <c r="C34" s="7" t="s">
        <v>46</v>
      </c>
      <c r="D34" s="7" t="s">
        <v>112</v>
      </c>
      <c r="E34" s="7" t="s">
        <v>36</v>
      </c>
      <c r="F34" s="7" t="s">
        <v>36</v>
      </c>
      <c r="G34" s="7">
        <v>2020</v>
      </c>
      <c r="H34" s="7" t="str">
        <f>CONCATENATE("04240203721")</f>
        <v>04240203721</v>
      </c>
      <c r="I34" s="7" t="s">
        <v>30</v>
      </c>
      <c r="J34" s="7" t="s">
        <v>31</v>
      </c>
      <c r="K34" s="7" t="str">
        <f>CONCATENATE("")</f>
        <v/>
      </c>
      <c r="L34" s="7" t="str">
        <f>CONCATENATE("14 14.1 3a")</f>
        <v>14 14.1 3a</v>
      </c>
      <c r="M34" s="7" t="str">
        <f>CONCATENATE("DMLRRT67H08D635D")</f>
        <v>DMLRRT67H08D635D</v>
      </c>
      <c r="N34" s="7" t="s">
        <v>113</v>
      </c>
      <c r="O34" s="7" t="s">
        <v>90</v>
      </c>
      <c r="P34" s="8">
        <v>44370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3167.07</v>
      </c>
      <c r="W34" s="9">
        <v>1365.64</v>
      </c>
      <c r="X34" s="9">
        <v>1261.1300000000001</v>
      </c>
      <c r="Y34" s="7">
        <v>0</v>
      </c>
      <c r="Z34" s="7">
        <v>540.29999999999995</v>
      </c>
    </row>
    <row r="35" spans="1:26" x14ac:dyDescent="0.35">
      <c r="A35" s="7" t="s">
        <v>27</v>
      </c>
      <c r="B35" s="7" t="s">
        <v>28</v>
      </c>
      <c r="C35" s="7" t="s">
        <v>46</v>
      </c>
      <c r="D35" s="7" t="s">
        <v>57</v>
      </c>
      <c r="E35" s="7" t="s">
        <v>39</v>
      </c>
      <c r="F35" s="7" t="s">
        <v>69</v>
      </c>
      <c r="G35" s="7">
        <v>2017</v>
      </c>
      <c r="H35" s="7" t="str">
        <f>CONCATENATE("74210250986")</f>
        <v>74210250986</v>
      </c>
      <c r="I35" s="7" t="s">
        <v>30</v>
      </c>
      <c r="J35" s="7" t="s">
        <v>31</v>
      </c>
      <c r="K35" s="7" t="str">
        <f>CONCATENATE("")</f>
        <v/>
      </c>
      <c r="L35" s="7" t="str">
        <f>CONCATENATE("13 13.1 4a")</f>
        <v>13 13.1 4a</v>
      </c>
      <c r="M35" s="7" t="str">
        <f>CONCATENATE("NSVGPP55C04B474A")</f>
        <v>NSVGPP55C04B474A</v>
      </c>
      <c r="N35" s="7" t="s">
        <v>114</v>
      </c>
      <c r="O35" s="7" t="s">
        <v>92</v>
      </c>
      <c r="P35" s="8">
        <v>44369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1219.8399999999999</v>
      </c>
      <c r="W35" s="7">
        <v>526</v>
      </c>
      <c r="X35" s="7">
        <v>485.74</v>
      </c>
      <c r="Y35" s="7">
        <v>0</v>
      </c>
      <c r="Z35" s="7">
        <v>208.1</v>
      </c>
    </row>
    <row r="36" spans="1:26" x14ac:dyDescent="0.35">
      <c r="A36" s="7" t="s">
        <v>27</v>
      </c>
      <c r="B36" s="7" t="s">
        <v>28</v>
      </c>
      <c r="C36" s="7" t="s">
        <v>46</v>
      </c>
      <c r="D36" s="7" t="s">
        <v>51</v>
      </c>
      <c r="E36" s="7" t="s">
        <v>36</v>
      </c>
      <c r="F36" s="7" t="s">
        <v>36</v>
      </c>
      <c r="G36" s="7">
        <v>2020</v>
      </c>
      <c r="H36" s="7" t="str">
        <f>CONCATENATE("04210582559")</f>
        <v>04210582559</v>
      </c>
      <c r="I36" s="7" t="s">
        <v>30</v>
      </c>
      <c r="J36" s="7" t="s">
        <v>31</v>
      </c>
      <c r="K36" s="7" t="str">
        <f>CONCATENATE("")</f>
        <v/>
      </c>
      <c r="L36" s="7" t="str">
        <f>CONCATENATE("13 13.1 4a")</f>
        <v>13 13.1 4a</v>
      </c>
      <c r="M36" s="7" t="str">
        <f>CONCATENATE("01379190414")</f>
        <v>01379190414</v>
      </c>
      <c r="N36" s="7" t="s">
        <v>115</v>
      </c>
      <c r="O36" s="7" t="s">
        <v>92</v>
      </c>
      <c r="P36" s="8">
        <v>44369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9000</v>
      </c>
      <c r="W36" s="9">
        <v>3880.8</v>
      </c>
      <c r="X36" s="9">
        <v>3583.8</v>
      </c>
      <c r="Y36" s="7">
        <v>0</v>
      </c>
      <c r="Z36" s="9">
        <v>1535.4</v>
      </c>
    </row>
    <row r="37" spans="1:26" x14ac:dyDescent="0.35">
      <c r="A37" s="7" t="s">
        <v>27</v>
      </c>
      <c r="B37" s="7" t="s">
        <v>28</v>
      </c>
      <c r="C37" s="7" t="s">
        <v>46</v>
      </c>
      <c r="D37" s="7" t="s">
        <v>51</v>
      </c>
      <c r="E37" s="7" t="s">
        <v>37</v>
      </c>
      <c r="F37" s="7" t="s">
        <v>116</v>
      </c>
      <c r="G37" s="7">
        <v>2020</v>
      </c>
      <c r="H37" s="7" t="str">
        <f>CONCATENATE("04210269306")</f>
        <v>04210269306</v>
      </c>
      <c r="I37" s="7" t="s">
        <v>30</v>
      </c>
      <c r="J37" s="7" t="s">
        <v>31</v>
      </c>
      <c r="K37" s="7" t="str">
        <f>CONCATENATE("")</f>
        <v/>
      </c>
      <c r="L37" s="7" t="str">
        <f>CONCATENATE("13 13.1 4a")</f>
        <v>13 13.1 4a</v>
      </c>
      <c r="M37" s="7" t="str">
        <f>CONCATENATE("BLDGRL58S01D749R")</f>
        <v>BLDGRL58S01D749R</v>
      </c>
      <c r="N37" s="7" t="s">
        <v>117</v>
      </c>
      <c r="O37" s="7" t="s">
        <v>92</v>
      </c>
      <c r="P37" s="8">
        <v>44369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6698.38</v>
      </c>
      <c r="W37" s="9">
        <v>2888.34</v>
      </c>
      <c r="X37" s="9">
        <v>2667.29</v>
      </c>
      <c r="Y37" s="7">
        <v>0</v>
      </c>
      <c r="Z37" s="9">
        <v>1142.75</v>
      </c>
    </row>
    <row r="38" spans="1:26" x14ac:dyDescent="0.35">
      <c r="A38" s="7" t="s">
        <v>27</v>
      </c>
      <c r="B38" s="7" t="s">
        <v>28</v>
      </c>
      <c r="C38" s="7" t="s">
        <v>46</v>
      </c>
      <c r="D38" s="7" t="s">
        <v>57</v>
      </c>
      <c r="E38" s="7" t="s">
        <v>37</v>
      </c>
      <c r="F38" s="7" t="s">
        <v>65</v>
      </c>
      <c r="G38" s="7">
        <v>2020</v>
      </c>
      <c r="H38" s="7" t="str">
        <f>CONCATENATE("04210817674")</f>
        <v>04210817674</v>
      </c>
      <c r="I38" s="7" t="s">
        <v>30</v>
      </c>
      <c r="J38" s="7" t="s">
        <v>31</v>
      </c>
      <c r="K38" s="7" t="str">
        <f>CONCATENATE("")</f>
        <v/>
      </c>
      <c r="L38" s="7" t="str">
        <f>CONCATENATE("13 13.1 4a")</f>
        <v>13 13.1 4a</v>
      </c>
      <c r="M38" s="7" t="str">
        <f>CONCATENATE("MDSRNR51B19D429C")</f>
        <v>MDSRNR51B19D429C</v>
      </c>
      <c r="N38" s="7" t="s">
        <v>118</v>
      </c>
      <c r="O38" s="7" t="s">
        <v>92</v>
      </c>
      <c r="P38" s="8">
        <v>44369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7130.65</v>
      </c>
      <c r="W38" s="9">
        <v>3074.74</v>
      </c>
      <c r="X38" s="9">
        <v>2839.42</v>
      </c>
      <c r="Y38" s="7">
        <v>0</v>
      </c>
      <c r="Z38" s="9">
        <v>1216.49</v>
      </c>
    </row>
    <row r="39" spans="1:26" x14ac:dyDescent="0.35">
      <c r="A39" s="7" t="s">
        <v>27</v>
      </c>
      <c r="B39" s="7" t="s">
        <v>28</v>
      </c>
      <c r="C39" s="7" t="s">
        <v>46</v>
      </c>
      <c r="D39" s="7" t="s">
        <v>57</v>
      </c>
      <c r="E39" s="7" t="s">
        <v>37</v>
      </c>
      <c r="F39" s="7" t="s">
        <v>65</v>
      </c>
      <c r="G39" s="7">
        <v>2020</v>
      </c>
      <c r="H39" s="7" t="str">
        <f>CONCATENATE("04240840498")</f>
        <v>04240840498</v>
      </c>
      <c r="I39" s="7" t="s">
        <v>30</v>
      </c>
      <c r="J39" s="7" t="s">
        <v>31</v>
      </c>
      <c r="K39" s="7" t="str">
        <f>CONCATENATE("")</f>
        <v/>
      </c>
      <c r="L39" s="7" t="str">
        <f>CONCATENATE("10 10.1 4a")</f>
        <v>10 10.1 4a</v>
      </c>
      <c r="M39" s="7" t="str">
        <f>CONCATENATE("01141480432")</f>
        <v>01141480432</v>
      </c>
      <c r="N39" s="7" t="s">
        <v>119</v>
      </c>
      <c r="O39" s="7" t="s">
        <v>94</v>
      </c>
      <c r="P39" s="8">
        <v>44369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7">
        <v>171</v>
      </c>
      <c r="W39" s="7">
        <v>73.739999999999995</v>
      </c>
      <c r="X39" s="7">
        <v>68.09</v>
      </c>
      <c r="Y39" s="7">
        <v>0</v>
      </c>
      <c r="Z39" s="7">
        <v>29.17</v>
      </c>
    </row>
    <row r="40" spans="1:26" x14ac:dyDescent="0.35">
      <c r="A40" s="7" t="s">
        <v>27</v>
      </c>
      <c r="B40" s="7" t="s">
        <v>28</v>
      </c>
      <c r="C40" s="7" t="s">
        <v>46</v>
      </c>
      <c r="D40" s="7" t="s">
        <v>57</v>
      </c>
      <c r="E40" s="7" t="s">
        <v>37</v>
      </c>
      <c r="F40" s="7" t="s">
        <v>74</v>
      </c>
      <c r="G40" s="7">
        <v>2020</v>
      </c>
      <c r="H40" s="7" t="str">
        <f>CONCATENATE("04210078178")</f>
        <v>04210078178</v>
      </c>
      <c r="I40" s="7" t="s">
        <v>30</v>
      </c>
      <c r="J40" s="7" t="s">
        <v>31</v>
      </c>
      <c r="K40" s="7" t="str">
        <f>CONCATENATE("")</f>
        <v/>
      </c>
      <c r="L40" s="7" t="str">
        <f>CONCATENATE("13 13.1 4a")</f>
        <v>13 13.1 4a</v>
      </c>
      <c r="M40" s="7" t="str">
        <f>CONCATENATE("00734090434")</f>
        <v>00734090434</v>
      </c>
      <c r="N40" s="7" t="s">
        <v>120</v>
      </c>
      <c r="O40" s="7" t="s">
        <v>92</v>
      </c>
      <c r="P40" s="8">
        <v>44369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1558.16</v>
      </c>
      <c r="W40" s="7">
        <v>671.88</v>
      </c>
      <c r="X40" s="7">
        <v>620.46</v>
      </c>
      <c r="Y40" s="7">
        <v>0</v>
      </c>
      <c r="Z40" s="7">
        <v>265.82</v>
      </c>
    </row>
    <row r="41" spans="1:26" x14ac:dyDescent="0.35">
      <c r="A41" s="7" t="s">
        <v>27</v>
      </c>
      <c r="B41" s="7" t="s">
        <v>28</v>
      </c>
      <c r="C41" s="7" t="s">
        <v>46</v>
      </c>
      <c r="D41" s="7" t="s">
        <v>57</v>
      </c>
      <c r="E41" s="7" t="s">
        <v>37</v>
      </c>
      <c r="F41" s="7" t="s">
        <v>74</v>
      </c>
      <c r="G41" s="7">
        <v>2020</v>
      </c>
      <c r="H41" s="7" t="str">
        <f>CONCATENATE("04210278489")</f>
        <v>04210278489</v>
      </c>
      <c r="I41" s="7" t="s">
        <v>30</v>
      </c>
      <c r="J41" s="7" t="s">
        <v>31</v>
      </c>
      <c r="K41" s="7" t="str">
        <f>CONCATENATE("")</f>
        <v/>
      </c>
      <c r="L41" s="7" t="str">
        <f>CONCATENATE("13 13.1 4a")</f>
        <v>13 13.1 4a</v>
      </c>
      <c r="M41" s="7" t="str">
        <f>CONCATENATE("MCHLBA64B67H876I")</f>
        <v>MCHLBA64B67H876I</v>
      </c>
      <c r="N41" s="7" t="s">
        <v>121</v>
      </c>
      <c r="O41" s="7" t="s">
        <v>92</v>
      </c>
      <c r="P41" s="8">
        <v>44369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1676.44</v>
      </c>
      <c r="W41" s="7">
        <v>722.88</v>
      </c>
      <c r="X41" s="7">
        <v>667.56</v>
      </c>
      <c r="Y41" s="7">
        <v>0</v>
      </c>
      <c r="Z41" s="7">
        <v>286</v>
      </c>
    </row>
    <row r="42" spans="1:26" x14ac:dyDescent="0.35">
      <c r="A42" s="7" t="s">
        <v>27</v>
      </c>
      <c r="B42" s="7" t="s">
        <v>28</v>
      </c>
      <c r="C42" s="7" t="s">
        <v>46</v>
      </c>
      <c r="D42" s="7" t="s">
        <v>47</v>
      </c>
      <c r="E42" s="7" t="s">
        <v>29</v>
      </c>
      <c r="F42" s="7" t="s">
        <v>95</v>
      </c>
      <c r="G42" s="7">
        <v>2020</v>
      </c>
      <c r="H42" s="7" t="str">
        <f>CONCATENATE("04240420341")</f>
        <v>04240420341</v>
      </c>
      <c r="I42" s="7" t="s">
        <v>30</v>
      </c>
      <c r="J42" s="7" t="s">
        <v>31</v>
      </c>
      <c r="K42" s="7" t="str">
        <f>CONCATENATE("")</f>
        <v/>
      </c>
      <c r="L42" s="7" t="str">
        <f>CONCATENATE("11 11.2 4b")</f>
        <v>11 11.2 4b</v>
      </c>
      <c r="M42" s="7" t="str">
        <f>CONCATENATE("LTNSLV40D66H886Q")</f>
        <v>LTNSLV40D66H886Q</v>
      </c>
      <c r="N42" s="7" t="s">
        <v>122</v>
      </c>
      <c r="O42" s="7" t="s">
        <v>97</v>
      </c>
      <c r="P42" s="8">
        <v>44369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7">
        <v>178.16</v>
      </c>
      <c r="W42" s="7">
        <v>76.819999999999993</v>
      </c>
      <c r="X42" s="7">
        <v>70.94</v>
      </c>
      <c r="Y42" s="7">
        <v>0</v>
      </c>
      <c r="Z42" s="7">
        <v>30.4</v>
      </c>
    </row>
    <row r="43" spans="1:26" x14ac:dyDescent="0.35">
      <c r="A43" s="7" t="s">
        <v>27</v>
      </c>
      <c r="B43" s="7" t="s">
        <v>28</v>
      </c>
      <c r="C43" s="7" t="s">
        <v>46</v>
      </c>
      <c r="D43" s="7" t="s">
        <v>47</v>
      </c>
      <c r="E43" s="7" t="s">
        <v>37</v>
      </c>
      <c r="F43" s="7" t="s">
        <v>104</v>
      </c>
      <c r="G43" s="7">
        <v>2020</v>
      </c>
      <c r="H43" s="7" t="str">
        <f>CONCATENATE("04240247108")</f>
        <v>04240247108</v>
      </c>
      <c r="I43" s="7" t="s">
        <v>30</v>
      </c>
      <c r="J43" s="7" t="s">
        <v>31</v>
      </c>
      <c r="K43" s="7" t="str">
        <f>CONCATENATE("")</f>
        <v/>
      </c>
      <c r="L43" s="7" t="str">
        <f>CONCATENATE("10 10.1 4a")</f>
        <v>10 10.1 4a</v>
      </c>
      <c r="M43" s="7" t="str">
        <f>CONCATENATE("FLPGRG52H08H979Y")</f>
        <v>FLPGRG52H08H979Y</v>
      </c>
      <c r="N43" s="7" t="s">
        <v>123</v>
      </c>
      <c r="O43" s="7" t="s">
        <v>124</v>
      </c>
      <c r="P43" s="8">
        <v>44369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2112.6799999999998</v>
      </c>
      <c r="W43" s="7">
        <v>910.99</v>
      </c>
      <c r="X43" s="7">
        <v>841.27</v>
      </c>
      <c r="Y43" s="7">
        <v>0</v>
      </c>
      <c r="Z43" s="7">
        <v>360.42</v>
      </c>
    </row>
    <row r="44" spans="1:26" ht="17.5" x14ac:dyDescent="0.35">
      <c r="A44" s="7" t="s">
        <v>27</v>
      </c>
      <c r="B44" s="7" t="s">
        <v>28</v>
      </c>
      <c r="C44" s="7" t="s">
        <v>46</v>
      </c>
      <c r="D44" s="7" t="s">
        <v>47</v>
      </c>
      <c r="E44" s="7" t="s">
        <v>29</v>
      </c>
      <c r="F44" s="7" t="s">
        <v>95</v>
      </c>
      <c r="G44" s="7">
        <v>2018</v>
      </c>
      <c r="H44" s="7" t="str">
        <f>CONCATENATE("84240775472")</f>
        <v>84240775472</v>
      </c>
      <c r="I44" s="7" t="s">
        <v>30</v>
      </c>
      <c r="J44" s="7" t="s">
        <v>31</v>
      </c>
      <c r="K44" s="7" t="str">
        <f>CONCATENATE("")</f>
        <v/>
      </c>
      <c r="L44" s="7" t="str">
        <f>CONCATENATE("10 10.1 4a")</f>
        <v>10 10.1 4a</v>
      </c>
      <c r="M44" s="7" t="str">
        <f>CONCATENATE("MNTMRN60P23A366D")</f>
        <v>MNTMRN60P23A366D</v>
      </c>
      <c r="N44" s="7" t="s">
        <v>125</v>
      </c>
      <c r="O44" s="7" t="s">
        <v>124</v>
      </c>
      <c r="P44" s="8">
        <v>44369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7">
        <v>888.8</v>
      </c>
      <c r="W44" s="7">
        <v>383.25</v>
      </c>
      <c r="X44" s="7">
        <v>353.92</v>
      </c>
      <c r="Y44" s="7">
        <v>0</v>
      </c>
      <c r="Z44" s="7">
        <v>151.63</v>
      </c>
    </row>
    <row r="45" spans="1:26" ht="17.5" x14ac:dyDescent="0.35">
      <c r="A45" s="7" t="s">
        <v>27</v>
      </c>
      <c r="B45" s="7" t="s">
        <v>28</v>
      </c>
      <c r="C45" s="7" t="s">
        <v>46</v>
      </c>
      <c r="D45" s="7" t="s">
        <v>47</v>
      </c>
      <c r="E45" s="7" t="s">
        <v>29</v>
      </c>
      <c r="F45" s="7" t="s">
        <v>95</v>
      </c>
      <c r="G45" s="7">
        <v>2020</v>
      </c>
      <c r="H45" s="7" t="str">
        <f>CONCATENATE("04240569030")</f>
        <v>04240569030</v>
      </c>
      <c r="I45" s="7" t="s">
        <v>30</v>
      </c>
      <c r="J45" s="7" t="s">
        <v>31</v>
      </c>
      <c r="K45" s="7" t="str">
        <f>CONCATENATE("")</f>
        <v/>
      </c>
      <c r="L45" s="7" t="str">
        <f>CONCATENATE("10 10.1 4a")</f>
        <v>10 10.1 4a</v>
      </c>
      <c r="M45" s="7" t="str">
        <f>CONCATENATE("MNTMRN60P23A366D")</f>
        <v>MNTMRN60P23A366D</v>
      </c>
      <c r="N45" s="7" t="s">
        <v>125</v>
      </c>
      <c r="O45" s="7" t="s">
        <v>124</v>
      </c>
      <c r="P45" s="8">
        <v>44369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7">
        <v>837.45</v>
      </c>
      <c r="W45" s="7">
        <v>361.11</v>
      </c>
      <c r="X45" s="7">
        <v>333.47</v>
      </c>
      <c r="Y45" s="7">
        <v>0</v>
      </c>
      <c r="Z45" s="7">
        <v>142.87</v>
      </c>
    </row>
    <row r="46" spans="1:26" x14ac:dyDescent="0.35">
      <c r="A46" s="7" t="s">
        <v>27</v>
      </c>
      <c r="B46" s="7" t="s">
        <v>28</v>
      </c>
      <c r="C46" s="7" t="s">
        <v>46</v>
      </c>
      <c r="D46" s="7" t="s">
        <v>47</v>
      </c>
      <c r="E46" s="7" t="s">
        <v>37</v>
      </c>
      <c r="F46" s="7" t="s">
        <v>100</v>
      </c>
      <c r="G46" s="7">
        <v>2020</v>
      </c>
      <c r="H46" s="7" t="str">
        <f>CONCATENATE("04241046731")</f>
        <v>04241046731</v>
      </c>
      <c r="I46" s="7" t="s">
        <v>30</v>
      </c>
      <c r="J46" s="7" t="s">
        <v>31</v>
      </c>
      <c r="K46" s="7" t="str">
        <f>CONCATENATE("")</f>
        <v/>
      </c>
      <c r="L46" s="7" t="str">
        <f>CONCATENATE("10 10.1 4a")</f>
        <v>10 10.1 4a</v>
      </c>
      <c r="M46" s="7" t="str">
        <f>CONCATENATE("PCGRMG65A13Z133V")</f>
        <v>PCGRMG65A13Z133V</v>
      </c>
      <c r="N46" s="7" t="s">
        <v>126</v>
      </c>
      <c r="O46" s="7" t="s">
        <v>124</v>
      </c>
      <c r="P46" s="8">
        <v>44369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3000</v>
      </c>
      <c r="W46" s="9">
        <v>1293.5999999999999</v>
      </c>
      <c r="X46" s="9">
        <v>1194.5999999999999</v>
      </c>
      <c r="Y46" s="7">
        <v>0</v>
      </c>
      <c r="Z46" s="7">
        <v>511.8</v>
      </c>
    </row>
    <row r="47" spans="1:26" x14ac:dyDescent="0.35">
      <c r="A47" s="7" t="s">
        <v>27</v>
      </c>
      <c r="B47" s="7" t="s">
        <v>28</v>
      </c>
      <c r="C47" s="7" t="s">
        <v>46</v>
      </c>
      <c r="D47" s="7" t="s">
        <v>47</v>
      </c>
      <c r="E47" s="7" t="s">
        <v>37</v>
      </c>
      <c r="F47" s="7" t="s">
        <v>104</v>
      </c>
      <c r="G47" s="7">
        <v>2020</v>
      </c>
      <c r="H47" s="7" t="str">
        <f>CONCATENATE("04240036337")</f>
        <v>04240036337</v>
      </c>
      <c r="I47" s="7" t="s">
        <v>30</v>
      </c>
      <c r="J47" s="7" t="s">
        <v>31</v>
      </c>
      <c r="K47" s="7" t="str">
        <f>CONCATENATE("")</f>
        <v/>
      </c>
      <c r="L47" s="7" t="str">
        <f>CONCATENATE("10 10.1 4a")</f>
        <v>10 10.1 4a</v>
      </c>
      <c r="M47" s="7" t="str">
        <f>CONCATENATE("DCAHSN91D11Z100U")</f>
        <v>DCAHSN91D11Z100U</v>
      </c>
      <c r="N47" s="7" t="s">
        <v>127</v>
      </c>
      <c r="O47" s="7" t="s">
        <v>124</v>
      </c>
      <c r="P47" s="8">
        <v>44369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1107.42</v>
      </c>
      <c r="W47" s="7">
        <v>477.52</v>
      </c>
      <c r="X47" s="7">
        <v>440.97</v>
      </c>
      <c r="Y47" s="7">
        <v>0</v>
      </c>
      <c r="Z47" s="7">
        <v>188.93</v>
      </c>
    </row>
    <row r="48" spans="1:26" x14ac:dyDescent="0.35">
      <c r="A48" s="7" t="s">
        <v>27</v>
      </c>
      <c r="B48" s="7" t="s">
        <v>28</v>
      </c>
      <c r="C48" s="7" t="s">
        <v>46</v>
      </c>
      <c r="D48" s="7" t="s">
        <v>112</v>
      </c>
      <c r="E48" s="7" t="s">
        <v>38</v>
      </c>
      <c r="F48" s="7" t="s">
        <v>128</v>
      </c>
      <c r="G48" s="7">
        <v>2020</v>
      </c>
      <c r="H48" s="7" t="str">
        <f>CONCATENATE("04241163536")</f>
        <v>04241163536</v>
      </c>
      <c r="I48" s="7" t="s">
        <v>30</v>
      </c>
      <c r="J48" s="7" t="s">
        <v>31</v>
      </c>
      <c r="K48" s="7" t="str">
        <f>CONCATENATE("")</f>
        <v/>
      </c>
      <c r="L48" s="7" t="str">
        <f>CONCATENATE("10 10.1 4a")</f>
        <v>10 10.1 4a</v>
      </c>
      <c r="M48" s="7" t="str">
        <f>CONCATENATE("02811600424")</f>
        <v>02811600424</v>
      </c>
      <c r="N48" s="7" t="s">
        <v>129</v>
      </c>
      <c r="O48" s="7" t="s">
        <v>124</v>
      </c>
      <c r="P48" s="8">
        <v>44369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7">
        <v>433.08</v>
      </c>
      <c r="W48" s="7">
        <v>186.74</v>
      </c>
      <c r="X48" s="7">
        <v>172.45</v>
      </c>
      <c r="Y48" s="7">
        <v>0</v>
      </c>
      <c r="Z48" s="7">
        <v>73.89</v>
      </c>
    </row>
    <row r="49" spans="1:26" x14ac:dyDescent="0.35">
      <c r="A49" s="7" t="s">
        <v>27</v>
      </c>
      <c r="B49" s="7" t="s">
        <v>28</v>
      </c>
      <c r="C49" s="7" t="s">
        <v>46</v>
      </c>
      <c r="D49" s="7" t="s">
        <v>47</v>
      </c>
      <c r="E49" s="7" t="s">
        <v>29</v>
      </c>
      <c r="F49" s="7" t="s">
        <v>130</v>
      </c>
      <c r="G49" s="7">
        <v>2020</v>
      </c>
      <c r="H49" s="7" t="str">
        <f>CONCATENATE("04240741720")</f>
        <v>04240741720</v>
      </c>
      <c r="I49" s="7" t="s">
        <v>30</v>
      </c>
      <c r="J49" s="7" t="s">
        <v>31</v>
      </c>
      <c r="K49" s="7" t="str">
        <f>CONCATENATE("")</f>
        <v/>
      </c>
      <c r="L49" s="7" t="str">
        <f>CONCATENATE("10 10.1 4a")</f>
        <v>10 10.1 4a</v>
      </c>
      <c r="M49" s="7" t="str">
        <f>CONCATENATE("PSRCLR52E58E388I")</f>
        <v>PSRCLR52E58E388I</v>
      </c>
      <c r="N49" s="7" t="s">
        <v>131</v>
      </c>
      <c r="O49" s="7" t="s">
        <v>124</v>
      </c>
      <c r="P49" s="8">
        <v>44369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7">
        <v>129</v>
      </c>
      <c r="W49" s="7">
        <v>55.62</v>
      </c>
      <c r="X49" s="7">
        <v>51.37</v>
      </c>
      <c r="Y49" s="7">
        <v>0</v>
      </c>
      <c r="Z49" s="7">
        <v>22.01</v>
      </c>
    </row>
    <row r="50" spans="1:26" x14ac:dyDescent="0.35">
      <c r="A50" s="7" t="s">
        <v>27</v>
      </c>
      <c r="B50" s="7" t="s">
        <v>28</v>
      </c>
      <c r="C50" s="7" t="s">
        <v>46</v>
      </c>
      <c r="D50" s="7" t="s">
        <v>47</v>
      </c>
      <c r="E50" s="7" t="s">
        <v>37</v>
      </c>
      <c r="F50" s="7" t="s">
        <v>100</v>
      </c>
      <c r="G50" s="7">
        <v>2020</v>
      </c>
      <c r="H50" s="7" t="str">
        <f>CONCATENATE("04241119090")</f>
        <v>04241119090</v>
      </c>
      <c r="I50" s="7" t="s">
        <v>30</v>
      </c>
      <c r="J50" s="7" t="s">
        <v>31</v>
      </c>
      <c r="K50" s="7" t="str">
        <f>CONCATENATE("")</f>
        <v/>
      </c>
      <c r="L50" s="7" t="str">
        <f>CONCATENATE("10 10.1 4a")</f>
        <v>10 10.1 4a</v>
      </c>
      <c r="M50" s="7" t="str">
        <f>CONCATENATE("CMPDNL97S16D451X")</f>
        <v>CMPDNL97S16D451X</v>
      </c>
      <c r="N50" s="7" t="s">
        <v>132</v>
      </c>
      <c r="O50" s="7" t="s">
        <v>124</v>
      </c>
      <c r="P50" s="8">
        <v>44369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2967.6</v>
      </c>
      <c r="W50" s="9">
        <v>1279.6300000000001</v>
      </c>
      <c r="X50" s="9">
        <v>1181.7</v>
      </c>
      <c r="Y50" s="7">
        <v>0</v>
      </c>
      <c r="Z50" s="7">
        <v>506.27</v>
      </c>
    </row>
    <row r="51" spans="1:26" ht="17.5" x14ac:dyDescent="0.35">
      <c r="A51" s="7" t="s">
        <v>27</v>
      </c>
      <c r="B51" s="7" t="s">
        <v>28</v>
      </c>
      <c r="C51" s="7" t="s">
        <v>46</v>
      </c>
      <c r="D51" s="7" t="s">
        <v>47</v>
      </c>
      <c r="E51" s="7" t="s">
        <v>37</v>
      </c>
      <c r="F51" s="7" t="s">
        <v>104</v>
      </c>
      <c r="G51" s="7">
        <v>2020</v>
      </c>
      <c r="H51" s="7" t="str">
        <f>CONCATENATE("04240953390")</f>
        <v>04240953390</v>
      </c>
      <c r="I51" s="7" t="s">
        <v>30</v>
      </c>
      <c r="J51" s="7" t="s">
        <v>31</v>
      </c>
      <c r="K51" s="7" t="str">
        <f>CONCATENATE("")</f>
        <v/>
      </c>
      <c r="L51" s="7" t="str">
        <f>CONCATENATE("10 10.1 4a")</f>
        <v>10 10.1 4a</v>
      </c>
      <c r="M51" s="7" t="str">
        <f>CONCATENATE("02708000423")</f>
        <v>02708000423</v>
      </c>
      <c r="N51" s="7" t="s">
        <v>133</v>
      </c>
      <c r="O51" s="7" t="s">
        <v>124</v>
      </c>
      <c r="P51" s="8">
        <v>44369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7">
        <v>340.37</v>
      </c>
      <c r="W51" s="7">
        <v>146.77000000000001</v>
      </c>
      <c r="X51" s="7">
        <v>135.54</v>
      </c>
      <c r="Y51" s="7">
        <v>0</v>
      </c>
      <c r="Z51" s="7">
        <v>58.06</v>
      </c>
    </row>
    <row r="52" spans="1:26" x14ac:dyDescent="0.35">
      <c r="A52" s="7" t="s">
        <v>27</v>
      </c>
      <c r="B52" s="7" t="s">
        <v>28</v>
      </c>
      <c r="C52" s="7" t="s">
        <v>46</v>
      </c>
      <c r="D52" s="7" t="s">
        <v>47</v>
      </c>
      <c r="E52" s="7" t="s">
        <v>29</v>
      </c>
      <c r="F52" s="7" t="s">
        <v>134</v>
      </c>
      <c r="G52" s="7">
        <v>2020</v>
      </c>
      <c r="H52" s="7" t="str">
        <f>CONCATENATE("04240522989")</f>
        <v>04240522989</v>
      </c>
      <c r="I52" s="7" t="s">
        <v>30</v>
      </c>
      <c r="J52" s="7" t="s">
        <v>31</v>
      </c>
      <c r="K52" s="7" t="str">
        <f>CONCATENATE("")</f>
        <v/>
      </c>
      <c r="L52" s="7" t="str">
        <f>CONCATENATE("10 10.1 4a")</f>
        <v>10 10.1 4a</v>
      </c>
      <c r="M52" s="7" t="str">
        <f>CONCATENATE("PCNCST95M29I608L")</f>
        <v>PCNCST95M29I608L</v>
      </c>
      <c r="N52" s="7" t="s">
        <v>135</v>
      </c>
      <c r="O52" s="7" t="s">
        <v>124</v>
      </c>
      <c r="P52" s="8">
        <v>44369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7">
        <v>191.98</v>
      </c>
      <c r="W52" s="7">
        <v>82.78</v>
      </c>
      <c r="X52" s="7">
        <v>76.45</v>
      </c>
      <c r="Y52" s="7">
        <v>0</v>
      </c>
      <c r="Z52" s="7">
        <v>32.75</v>
      </c>
    </row>
    <row r="53" spans="1:26" x14ac:dyDescent="0.35">
      <c r="A53" s="7" t="s">
        <v>27</v>
      </c>
      <c r="B53" s="7" t="s">
        <v>28</v>
      </c>
      <c r="C53" s="7" t="s">
        <v>46</v>
      </c>
      <c r="D53" s="7" t="s">
        <v>47</v>
      </c>
      <c r="E53" s="7" t="s">
        <v>37</v>
      </c>
      <c r="F53" s="7" t="s">
        <v>98</v>
      </c>
      <c r="G53" s="7">
        <v>2020</v>
      </c>
      <c r="H53" s="7" t="str">
        <f>CONCATENATE("04241158494")</f>
        <v>04241158494</v>
      </c>
      <c r="I53" s="7" t="s">
        <v>30</v>
      </c>
      <c r="J53" s="7" t="s">
        <v>31</v>
      </c>
      <c r="K53" s="7" t="str">
        <f>CONCATENATE("")</f>
        <v/>
      </c>
      <c r="L53" s="7" t="str">
        <f>CONCATENATE("10 10.1 4a")</f>
        <v>10 10.1 4a</v>
      </c>
      <c r="M53" s="7" t="str">
        <f>CONCATENATE("PRLRMN73B44E388N")</f>
        <v>PRLRMN73B44E388N</v>
      </c>
      <c r="N53" s="7" t="s">
        <v>136</v>
      </c>
      <c r="O53" s="7" t="s">
        <v>124</v>
      </c>
      <c r="P53" s="8">
        <v>44369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1708.48</v>
      </c>
      <c r="W53" s="7">
        <v>736.7</v>
      </c>
      <c r="X53" s="7">
        <v>680.32</v>
      </c>
      <c r="Y53" s="7">
        <v>0</v>
      </c>
      <c r="Z53" s="7">
        <v>291.45999999999998</v>
      </c>
    </row>
    <row r="54" spans="1:26" x14ac:dyDescent="0.35">
      <c r="A54" s="7" t="s">
        <v>27</v>
      </c>
      <c r="B54" s="7" t="s">
        <v>28</v>
      </c>
      <c r="C54" s="7" t="s">
        <v>46</v>
      </c>
      <c r="D54" s="7" t="s">
        <v>47</v>
      </c>
      <c r="E54" s="7" t="s">
        <v>37</v>
      </c>
      <c r="F54" s="7" t="s">
        <v>104</v>
      </c>
      <c r="G54" s="7">
        <v>2020</v>
      </c>
      <c r="H54" s="7" t="str">
        <f>CONCATENATE("04240016974")</f>
        <v>04240016974</v>
      </c>
      <c r="I54" s="7" t="s">
        <v>30</v>
      </c>
      <c r="J54" s="7" t="s">
        <v>31</v>
      </c>
      <c r="K54" s="7" t="str">
        <f>CONCATENATE("")</f>
        <v/>
      </c>
      <c r="L54" s="7" t="str">
        <f>CONCATENATE("10 10.1 4a")</f>
        <v>10 10.1 4a</v>
      </c>
      <c r="M54" s="7" t="str">
        <f>CONCATENATE("TNTGLR92M54E388F")</f>
        <v>TNTGLR92M54E388F</v>
      </c>
      <c r="N54" s="7" t="s">
        <v>137</v>
      </c>
      <c r="O54" s="7" t="s">
        <v>124</v>
      </c>
      <c r="P54" s="8">
        <v>44369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7">
        <v>888.54</v>
      </c>
      <c r="W54" s="7">
        <v>383.14</v>
      </c>
      <c r="X54" s="7">
        <v>353.82</v>
      </c>
      <c r="Y54" s="7">
        <v>0</v>
      </c>
      <c r="Z54" s="7">
        <v>151.58000000000001</v>
      </c>
    </row>
    <row r="55" spans="1:26" x14ac:dyDescent="0.35">
      <c r="A55" s="7" t="s">
        <v>27</v>
      </c>
      <c r="B55" s="7" t="s">
        <v>28</v>
      </c>
      <c r="C55" s="7" t="s">
        <v>46</v>
      </c>
      <c r="D55" s="7" t="s">
        <v>47</v>
      </c>
      <c r="E55" s="7" t="s">
        <v>29</v>
      </c>
      <c r="F55" s="7" t="s">
        <v>130</v>
      </c>
      <c r="G55" s="7">
        <v>2018</v>
      </c>
      <c r="H55" s="7" t="str">
        <f>CONCATENATE("84241071764")</f>
        <v>84241071764</v>
      </c>
      <c r="I55" s="7" t="s">
        <v>30</v>
      </c>
      <c r="J55" s="7" t="s">
        <v>31</v>
      </c>
      <c r="K55" s="7" t="str">
        <f>CONCATENATE("")</f>
        <v/>
      </c>
      <c r="L55" s="7" t="str">
        <f>CONCATENATE("10 10.1 4a")</f>
        <v>10 10.1 4a</v>
      </c>
      <c r="M55" s="7" t="str">
        <f>CONCATENATE("CLMGRG83T18E388S")</f>
        <v>CLMGRG83T18E388S</v>
      </c>
      <c r="N55" s="7" t="s">
        <v>138</v>
      </c>
      <c r="O55" s="7" t="s">
        <v>124</v>
      </c>
      <c r="P55" s="8">
        <v>44369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7">
        <v>60.3</v>
      </c>
      <c r="W55" s="7">
        <v>26</v>
      </c>
      <c r="X55" s="7">
        <v>24.01</v>
      </c>
      <c r="Y55" s="7">
        <v>0</v>
      </c>
      <c r="Z55" s="7">
        <v>10.29</v>
      </c>
    </row>
    <row r="56" spans="1:26" x14ac:dyDescent="0.35">
      <c r="A56" s="7" t="s">
        <v>27</v>
      </c>
      <c r="B56" s="7" t="s">
        <v>28</v>
      </c>
      <c r="C56" s="7" t="s">
        <v>46</v>
      </c>
      <c r="D56" s="7" t="s">
        <v>47</v>
      </c>
      <c r="E56" s="7" t="s">
        <v>37</v>
      </c>
      <c r="F56" s="7" t="s">
        <v>100</v>
      </c>
      <c r="G56" s="7">
        <v>2018</v>
      </c>
      <c r="H56" s="7" t="str">
        <f>CONCATENATE("84240923544")</f>
        <v>84240923544</v>
      </c>
      <c r="I56" s="7" t="s">
        <v>30</v>
      </c>
      <c r="J56" s="7" t="s">
        <v>31</v>
      </c>
      <c r="K56" s="7" t="str">
        <f>CONCATENATE("")</f>
        <v/>
      </c>
      <c r="L56" s="7" t="str">
        <f>CONCATENATE("10 10.1 4a")</f>
        <v>10 10.1 4a</v>
      </c>
      <c r="M56" s="7" t="str">
        <f>CONCATENATE("NGLMNL88E02D451B")</f>
        <v>NGLMNL88E02D451B</v>
      </c>
      <c r="N56" s="7" t="s">
        <v>139</v>
      </c>
      <c r="O56" s="7" t="s">
        <v>124</v>
      </c>
      <c r="P56" s="8">
        <v>44369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7">
        <v>792</v>
      </c>
      <c r="W56" s="7">
        <v>341.51</v>
      </c>
      <c r="X56" s="7">
        <v>315.37</v>
      </c>
      <c r="Y56" s="7">
        <v>0</v>
      </c>
      <c r="Z56" s="7">
        <v>135.12</v>
      </c>
    </row>
    <row r="57" spans="1:26" x14ac:dyDescent="0.35">
      <c r="A57" s="7" t="s">
        <v>27</v>
      </c>
      <c r="B57" s="7" t="s">
        <v>28</v>
      </c>
      <c r="C57" s="7" t="s">
        <v>46</v>
      </c>
      <c r="D57" s="7" t="s">
        <v>47</v>
      </c>
      <c r="E57" s="7" t="s">
        <v>37</v>
      </c>
      <c r="F57" s="7" t="s">
        <v>140</v>
      </c>
      <c r="G57" s="7">
        <v>2020</v>
      </c>
      <c r="H57" s="7" t="str">
        <f>CONCATENATE("04240122244")</f>
        <v>04240122244</v>
      </c>
      <c r="I57" s="7" t="s">
        <v>30</v>
      </c>
      <c r="J57" s="7" t="s">
        <v>31</v>
      </c>
      <c r="K57" s="7" t="str">
        <f>CONCATENATE("")</f>
        <v/>
      </c>
      <c r="L57" s="7" t="str">
        <f>CONCATENATE("10 10.1 4a")</f>
        <v>10 10.1 4a</v>
      </c>
      <c r="M57" s="7" t="str">
        <f>CONCATENATE("MRNPLA75P30H211M")</f>
        <v>MRNPLA75P30H211M</v>
      </c>
      <c r="N57" s="7" t="s">
        <v>141</v>
      </c>
      <c r="O57" s="7" t="s">
        <v>124</v>
      </c>
      <c r="P57" s="8">
        <v>44369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3900</v>
      </c>
      <c r="W57" s="9">
        <v>1681.68</v>
      </c>
      <c r="X57" s="9">
        <v>1552.98</v>
      </c>
      <c r="Y57" s="7">
        <v>0</v>
      </c>
      <c r="Z57" s="7">
        <v>665.34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02DB98-BA43-4D00-BE82-AA26D29E5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76B23B-28F2-430B-8670-255FAA6659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019613-D59C-4F7D-B2D1-CABEB48557A3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28929</vt:lpwstr>
  </property>
  <property fmtid="{D5CDD505-2E9C-101B-9397-08002B2CF9AE}" pid="4" name="OptimizationTime">
    <vt:lpwstr>20210625_1851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2021-06-25T14:59:03Z</dcterms:created>
  <dcterms:modified xsi:type="dcterms:W3CDTF">2021-06-25T14:59:51Z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