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2/"/>
    </mc:Choice>
  </mc:AlternateContent>
  <xr:revisionPtr revIDLastSave="0" documentId="8_{47A2A2DD-0A3B-435E-BDB8-782747371792}" xr6:coauthVersionLast="45" xr6:coauthVersionMax="45" xr10:uidLastSave="{00000000-0000-0000-0000-000000000000}"/>
  <bookViews>
    <workbookView xWindow="-110" yWindow="-110" windowWidth="19420" windowHeight="10420" xr2:uid="{93A9A849-710D-4B7D-9623-E50F66B6364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4" i="1" l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<sst xmlns="http://schemas.openxmlformats.org/spreadsheetml/2006/main" count="1021" uniqueCount="162">
  <si>
    <t>Dettaglio Domande Pagabili Decreto 462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</si>
  <si>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</si>
  <si>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</si>
  <si>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</si>
  <si>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</si>
  <si>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</si>
  <si>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</si>
  <si>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</si>
  <si>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</si>
  <si>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</si>
  <si>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</si>
  <si>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</si>
  <si>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</si>
  <si>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</si>
  <si>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</si>
  <si>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</si>
  <si>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</si>
  <si>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</si>
  <si>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</si>
  <si>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</si>
  <si>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</si>
  <si>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</si>
  <si>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</si>
  <si>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</si>
  <si>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</si>
  <si>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</si>
  <si>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</si>
  <si>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</si>
  <si>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</si>
  <si>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</si>
  <si>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</si>
  <si>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</si>
  <si>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</si>
  <si>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</si>
  <si>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</si>
  <si>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</si>
  <si>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Misure Strutturali</t>
  </si>
  <si>
    <t>IN PROPRIO</t>
  </si>
  <si>
    <t>CAA Confagricoltura srl</t>
  </si>
  <si>
    <t>CAA CIA srl</t>
  </si>
  <si>
    <t>SI</t>
  </si>
  <si>
    <t>CAA-CAF AGRI S.R.L.</t>
  </si>
  <si>
    <t>CAA LiberiAgricoltori srl già CAA AGCI srl</t>
  </si>
  <si>
    <t>SAL</t>
  </si>
  <si>
    <t>Anticipo</t>
  </si>
  <si>
    <t>MARCHE</t>
  </si>
  <si>
    <t>SERV. DEC. AGRICOLTURA E ALIMENTAZIONE - ANCONA</t>
  </si>
  <si>
    <t>CAA Coldiretti - ANCONA - 002</t>
  </si>
  <si>
    <t>POETA MASSIMO</t>
  </si>
  <si>
    <t>AGEA.ASR.2021.0585868</t>
  </si>
  <si>
    <t>SERV. DEC. AGRICOLTURA E ALIM. -ASCOLI PICENO</t>
  </si>
  <si>
    <t>CAA CIA - ASCOLI PICENO - 005</t>
  </si>
  <si>
    <t>OTTAVIANI GIACOMO</t>
  </si>
  <si>
    <t>AGEA.ASR.2021.0070785</t>
  </si>
  <si>
    <t>CAA CIA - ANCONA - 006</t>
  </si>
  <si>
    <t>SOC.AGR.FOR.DI GESTIONE DIE BENI AGRO SILVO PASTORALI MARCHE</t>
  </si>
  <si>
    <t>AGEA.ASR.2021.0452927</t>
  </si>
  <si>
    <t>SERV. DEC. AGRICOLTURA E ALIMENTAZIONE - PESARO</t>
  </si>
  <si>
    <t>CAA CIA - PESARO E URBINO - 005</t>
  </si>
  <si>
    <t>AZ.AGR.MANOCCHI MARCELLO E MARCO</t>
  </si>
  <si>
    <t>AGEA.ASR.2021.0756101</t>
  </si>
  <si>
    <t>SERV. DEC. AGRICOLTURA E ALIM. - MACERATA</t>
  </si>
  <si>
    <t>CAA Coldiretti - MACERATA - 010</t>
  </si>
  <si>
    <t>AZIENDA AGRARIA ISTITUTO TECNICO AGRARIO I. I. S. G. GARIBALDI MACERAT</t>
  </si>
  <si>
    <t>FREDDI LUCIANA</t>
  </si>
  <si>
    <t>CAA Coldiretti - ANCONA - 004</t>
  </si>
  <si>
    <t>GIANCAMILLI ERMINIO E C. SOCIETA' AGRICOLA</t>
  </si>
  <si>
    <t>CAA Coldiretti - MACERATA - 002</t>
  </si>
  <si>
    <t>NATALUCCI ANTONIO</t>
  </si>
  <si>
    <t>CAA Coldiretti - MACERATA - 017</t>
  </si>
  <si>
    <t>SOCIETA' AGRICOLA - ALESSANDRI ANGELO E GIUSEPPE SOC. SEMPLICE</t>
  </si>
  <si>
    <t>CAA LiberiAgricoltori - MACERATA - 002</t>
  </si>
  <si>
    <t>SOCIETA' AGRICOLA COPPONI GIANCARLO E SPURI MARIA S.S.</t>
  </si>
  <si>
    <t>SOCIETA' AGRICOLA ORPELLO SS</t>
  </si>
  <si>
    <t>CAA Coldiretti - PESARO E URBINO - 004</t>
  </si>
  <si>
    <t>SOCIETA' AGRICOLA ROMANINI DOMENICO E ALESSANDRO SOCIETA' SEMPLIC E</t>
  </si>
  <si>
    <t>CAA Coldiretti - MACERATA - 007</t>
  </si>
  <si>
    <t>SOCIETA' AGRICOLA DE MICHELIS DI DE MICHELIS MARCO &amp; LUIGI S.S.</t>
  </si>
  <si>
    <t>CAA LiberiAgricoltori - MACERATA - 003</t>
  </si>
  <si>
    <t>SOCIETA' AGRICOLA FORESTALE MORICA SRL</t>
  </si>
  <si>
    <t>SOCIETA' AGRICOLA SCAGNETTI DI SCAGNETTI FRANCESCO E C. S.S.</t>
  </si>
  <si>
    <t>CAA Coldiretti - PESARO E URBINO - 013</t>
  </si>
  <si>
    <t>ROMITI GIOVANNI</t>
  </si>
  <si>
    <t>SOCIETA' AGRICOLA PISELLI PIETRO E C. SOC. SEMPLICE</t>
  </si>
  <si>
    <t>BALDESCHI VIOLA</t>
  </si>
  <si>
    <t>AGEA.ASR.2021.0778874</t>
  </si>
  <si>
    <t>CAA CAF AGRI - MACERATA - 224</t>
  </si>
  <si>
    <t>AZIENDA AGRICOLA CAMPOGIANO S.A.S. DI RICOTTA LORENZO E C.</t>
  </si>
  <si>
    <t>AGEA.ASR.2021.0759504</t>
  </si>
  <si>
    <t>CAA Confagricoltura - MACERATA - 001</t>
  </si>
  <si>
    <t>PONTANI SANTE DAMIANO</t>
  </si>
  <si>
    <t>AGEA.ASR.2021.0759627</t>
  </si>
  <si>
    <t>COPPONI STEFANO</t>
  </si>
  <si>
    <t>AGEA.ASR.2021.0723479</t>
  </si>
  <si>
    <t>EUGENIUP S.R.L.</t>
  </si>
  <si>
    <t>AGEA.ASR.2021.0778870</t>
  </si>
  <si>
    <t>MATTIACCI LORENZO</t>
  </si>
  <si>
    <t>PETRINI SERENA</t>
  </si>
  <si>
    <t>PICENUM CLUB SRLS</t>
  </si>
  <si>
    <t>SILENZI CATERINA</t>
  </si>
  <si>
    <t>COMUNE DI MONTALTO DELLE MARCHE</t>
  </si>
  <si>
    <t>AGEA.ASR.2021.0778875</t>
  </si>
  <si>
    <t>AGRICOLT BRANDONI DI BRANDONI TOMMASO &amp; C SNC SOCIETA' AGRICOLA</t>
  </si>
  <si>
    <t>AGEA.ASR.2021.0722581</t>
  </si>
  <si>
    <t>COMUNE DI ALTIDONA</t>
  </si>
  <si>
    <t>AGEA.ASR.2021.0778871</t>
  </si>
  <si>
    <t>COMUNE DI CAMPOFILONE</t>
  </si>
  <si>
    <t>COMUNE DI MASSA FERMANA</t>
  </si>
  <si>
    <t>COMUNE DI MONTE GIBERTO</t>
  </si>
  <si>
    <t>COMUNE DI MONTE VIDON COMBATTE</t>
  </si>
  <si>
    <t>COMUNE DI MONTELPARO</t>
  </si>
  <si>
    <t>COMUNE DI MORESCO</t>
  </si>
  <si>
    <t>COMUNE DI PETRITOLI</t>
  </si>
  <si>
    <t>COMUNE DI PONZANO DI FERMO</t>
  </si>
  <si>
    <t>COMUNE DI RAPAGNANO</t>
  </si>
  <si>
    <t>BARTOCCI MASSIMO</t>
  </si>
  <si>
    <t>AGEA.ASR.2021.0761607</t>
  </si>
  <si>
    <t>CAA CIA - ANCONA - 005</t>
  </si>
  <si>
    <t>AGOSTINELLI SANDRO</t>
  </si>
  <si>
    <t>VITALI CARLO</t>
  </si>
  <si>
    <t>GRELLONI EMANUELA</t>
  </si>
  <si>
    <t>CAA LiberiAgricoltori - MACERATA - 001</t>
  </si>
  <si>
    <t>ANSOVINI GIUSEPPE</t>
  </si>
  <si>
    <t>CAA Confagricoltura - PESARO E URBINO - 001</t>
  </si>
  <si>
    <t>MIGIANI TIZIANO</t>
  </si>
  <si>
    <t>CAA Coldiretti - FERMO - 001</t>
  </si>
  <si>
    <t>FEDELI ERALDO</t>
  </si>
  <si>
    <t>CAA Coldiretti - ANCONA - 005</t>
  </si>
  <si>
    <t>ROSETTI ARON RODION</t>
  </si>
  <si>
    <t>PACIAROTTI ATTILIO</t>
  </si>
  <si>
    <t>LE COLLINE DI RUSTANO SOC. AGRIC. SEMPL.</t>
  </si>
  <si>
    <t>COMUNE DI BELMONTE PICENO</t>
  </si>
  <si>
    <t>COMUNE DI SERVIGLIANO</t>
  </si>
  <si>
    <t>VITALETTI ROBERTO</t>
  </si>
  <si>
    <t>CAUCCI FRANCO</t>
  </si>
  <si>
    <t>ZAMPARINI ITALO</t>
  </si>
  <si>
    <t>ROSSI ALESSANDRO</t>
  </si>
  <si>
    <t>SOCIETA' AGRICOLA COSIMI S. S.</t>
  </si>
  <si>
    <t>SENSI ANTONIO</t>
  </si>
  <si>
    <t>ROSSI NICCOLA</t>
  </si>
  <si>
    <t>LATINI SILVIA</t>
  </si>
  <si>
    <t>BURZACCA ARMANDO</t>
  </si>
  <si>
    <t>CAA Coldiretti - ASCOLI PICENO - 010</t>
  </si>
  <si>
    <t>SANTOLINI GABRIELE</t>
  </si>
  <si>
    <t>LOSCALZO SIMONA</t>
  </si>
  <si>
    <t>CAA Confagricoltura - ANCONA - 001</t>
  </si>
  <si>
    <t>LE COLLINE DEL GIANO DI LORI E COFANI SOCIETA' AGRICOLA S.S. DI COFANI</t>
  </si>
  <si>
    <t>CAA CAF AGRI - PESARO E URBINO - 221</t>
  </si>
  <si>
    <t>SOCIETA' AGRICOLA BUCCHINI DAVIDE E ROMANI STEFANIA SS</t>
  </si>
  <si>
    <t>AGEA.ASR.2021.0759635</t>
  </si>
  <si>
    <t>LANCIOTTI FABIO</t>
  </si>
  <si>
    <t>CAA Coldiretti - ASCOLI PICENO - 040</t>
  </si>
  <si>
    <t>SPINELLI FABIO</t>
  </si>
  <si>
    <t>CAA CAF AGRI - ASCOLI PICENO - 221</t>
  </si>
  <si>
    <t>AZIENDA AGRICOLA MORESCHINI DI MORESCHINI PATRIZIO E PIERLUIGI SO CIET</t>
  </si>
  <si>
    <t>SOCIETA' AGRICOLA RIPOSATI GIANNINO E ALDER JANETTE ELISABETH SOCIETA'</t>
  </si>
  <si>
    <t>CAA Coldiretti - PESARO E URBINO - 010</t>
  </si>
  <si>
    <t>PALMAS BACHISIO</t>
  </si>
  <si>
    <t>CARNAROLI EMANUELE</t>
  </si>
  <si>
    <t>LE BASI SOCIETA' AGRICOLA SEMPLICE</t>
  </si>
  <si>
    <t>CAA Coldiretti - MACERATA - 009</t>
  </si>
  <si>
    <t>PORFIRI MARISA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</si>
</sst>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4F08-0842-4629-B9B7-CB53418C57BF}">
  <dimension ref="A1:Z74"/>
  <sheetViews>
    <sheetView showGridLines="0" tabSelected="1" workbookViewId="0">
      <selection activeCell="E76" sqref="E7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45</v>
      </c>
      <c r="D4" s="7" t="s">
        <v>46</v>
      </c>
      <c r="E4" s="7" t="s">
        <v>35</v>
      </c>
      <c r="F4" s="7" t="s">
        <v>47</v>
      </c>
      <c r="G4" s="7">
        <v>2020</v>
      </c>
      <c r="H4" s="7" t="str">
        <f>CONCATENATE("04240545857")</f>
        <v>04240545857</v>
      </c>
      <c r="I4" s="7" t="s">
        <v>29</v>
      </c>
      <c r="J4" s="7" t="s">
        <v>30</v>
      </c>
      <c r="K4" s="7" t="str">
        <f>CONCATENATE("")</f>
        <v/>
      </c>
      <c r="L4" s="7" t="str">
        <f>CONCATENATE("11 11.2 4b")</f>
        <v>11 11.2 4b</v>
      </c>
      <c r="M4" s="7" t="str">
        <f>CONCATENATE("PTOMSM79H14D451J")</f>
        <v>PTOMSM79H14D451J</v>
      </c>
      <c r="N4" s="7" t="s">
        <v>48</v>
      </c>
      <c r="O4" s="7" t="s">
        <v>49</v>
      </c>
      <c r="P4" s="8">
        <v>44321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3320.37</v>
      </c>
      <c r="W4" s="9">
        <v>1431.74</v>
      </c>
      <c r="X4" s="9">
        <v>1322.17</v>
      </c>
      <c r="Y4" s="7">
        <v>0</v>
      </c>
      <c r="Z4" s="7">
        <v>566.46</v>
      </c>
    </row>
    <row r="5" spans="1:26" x14ac:dyDescent="0.35">
      <c r="A5" s="7" t="s">
        <v>27</v>
      </c>
      <c r="B5" s="7" t="s">
        <v>28</v>
      </c>
      <c r="C5" s="7" t="s">
        <v>45</v>
      </c>
      <c r="D5" s="7" t="s">
        <v>50</v>
      </c>
      <c r="E5" s="7" t="s">
        <v>39</v>
      </c>
      <c r="F5" s="7" t="s">
        <v>51</v>
      </c>
      <c r="G5" s="7">
        <v>2020</v>
      </c>
      <c r="H5" s="7" t="str">
        <f>CONCATENATE("04210349439")</f>
        <v>04210349439</v>
      </c>
      <c r="I5" s="7" t="s">
        <v>29</v>
      </c>
      <c r="J5" s="7" t="s">
        <v>30</v>
      </c>
      <c r="K5" s="7" t="str">
        <f>CONCATENATE("")</f>
        <v/>
      </c>
      <c r="L5" s="7" t="str">
        <f>CONCATENATE("13 13.1 4a")</f>
        <v>13 13.1 4a</v>
      </c>
      <c r="M5" s="7" t="str">
        <f>CONCATENATE("TTVGCM54T11F509H")</f>
        <v>TTVGCM54T11F509H</v>
      </c>
      <c r="N5" s="7" t="s">
        <v>52</v>
      </c>
      <c r="O5" s="7" t="s">
        <v>53</v>
      </c>
      <c r="P5" s="8">
        <v>44229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7155.48</v>
      </c>
      <c r="W5" s="9">
        <v>3085.44</v>
      </c>
      <c r="X5" s="9">
        <v>2849.31</v>
      </c>
      <c r="Y5" s="7">
        <v>0</v>
      </c>
      <c r="Z5" s="9">
        <v>1220.73</v>
      </c>
    </row>
    <row r="6" spans="1:26" x14ac:dyDescent="0.35">
      <c r="A6" s="7" t="s">
        <v>27</v>
      </c>
      <c r="B6" s="7" t="s">
        <v>36</v>
      </c>
      <c r="C6" s="7" t="s">
        <v>45</v>
      </c>
      <c r="D6" s="7" t="s">
        <v>46</v>
      </c>
      <c r="E6" s="7" t="s">
        <v>39</v>
      </c>
      <c r="F6" s="7" t="s">
        <v>54</v>
      </c>
      <c r="G6" s="7">
        <v>2017</v>
      </c>
      <c r="H6" s="7" t="str">
        <f>CONCATENATE("04270232327")</f>
        <v>04270232327</v>
      </c>
      <c r="I6" s="7" t="s">
        <v>29</v>
      </c>
      <c r="J6" s="7" t="s">
        <v>30</v>
      </c>
      <c r="K6" s="7" t="str">
        <f>CONCATENATE("")</f>
        <v/>
      </c>
      <c r="L6" s="7" t="str">
        <f>CONCATENATE("8 8.5 4a")</f>
        <v>8 8.5 4a</v>
      </c>
      <c r="M6" s="7" t="str">
        <f>CONCATENATE("02419450420")</f>
        <v>02419450420</v>
      </c>
      <c r="N6" s="7" t="s">
        <v>55</v>
      </c>
      <c r="O6" s="7" t="s">
        <v>56</v>
      </c>
      <c r="P6" s="8">
        <v>44299</v>
      </c>
      <c r="Q6" s="7" t="s">
        <v>31</v>
      </c>
      <c r="R6" s="7" t="s">
        <v>44</v>
      </c>
      <c r="S6" s="7" t="s">
        <v>33</v>
      </c>
      <c r="T6" s="7"/>
      <c r="U6" s="7" t="s">
        <v>34</v>
      </c>
      <c r="V6" s="9">
        <v>179001.68</v>
      </c>
      <c r="W6" s="9">
        <v>77185.52</v>
      </c>
      <c r="X6" s="9">
        <v>71278.47</v>
      </c>
      <c r="Y6" s="7">
        <v>0</v>
      </c>
      <c r="Z6" s="9">
        <v>30537.69</v>
      </c>
    </row>
    <row r="7" spans="1:26" x14ac:dyDescent="0.35">
      <c r="A7" s="7" t="s">
        <v>27</v>
      </c>
      <c r="B7" s="7" t="s">
        <v>36</v>
      </c>
      <c r="C7" s="7" t="s">
        <v>45</v>
      </c>
      <c r="D7" s="7" t="s">
        <v>57</v>
      </c>
      <c r="E7" s="7" t="s">
        <v>39</v>
      </c>
      <c r="F7" s="7" t="s">
        <v>58</v>
      </c>
      <c r="G7" s="7">
        <v>2017</v>
      </c>
      <c r="H7" s="7" t="str">
        <f>CONCATENATE("14270159404")</f>
        <v>14270159404</v>
      </c>
      <c r="I7" s="7" t="s">
        <v>29</v>
      </c>
      <c r="J7" s="7" t="s">
        <v>30</v>
      </c>
      <c r="K7" s="7" t="str">
        <f>CONCATENATE("")</f>
        <v/>
      </c>
      <c r="L7" s="7" t="str">
        <f>CONCATENATE("21 21.1 2a")</f>
        <v>21 21.1 2a</v>
      </c>
      <c r="M7" s="7" t="str">
        <f>CONCATENATE("01387140419")</f>
        <v>01387140419</v>
      </c>
      <c r="N7" s="7" t="s">
        <v>59</v>
      </c>
      <c r="O7" s="7" t="s">
        <v>60</v>
      </c>
      <c r="P7" s="8">
        <v>44361</v>
      </c>
      <c r="Q7" s="7" t="s">
        <v>31</v>
      </c>
      <c r="R7" s="7" t="s">
        <v>32</v>
      </c>
      <c r="S7" s="7" t="s">
        <v>33</v>
      </c>
      <c r="T7" s="7"/>
      <c r="U7" s="7" t="s">
        <v>34</v>
      </c>
      <c r="V7" s="9">
        <v>3675</v>
      </c>
      <c r="W7" s="9">
        <v>1584.66</v>
      </c>
      <c r="X7" s="9">
        <v>1463.39</v>
      </c>
      <c r="Y7" s="7">
        <v>0</v>
      </c>
      <c r="Z7" s="7">
        <v>626.95000000000005</v>
      </c>
    </row>
    <row r="8" spans="1:26" ht="17.5" x14ac:dyDescent="0.35">
      <c r="A8" s="7" t="s">
        <v>27</v>
      </c>
      <c r="B8" s="7" t="s">
        <v>36</v>
      </c>
      <c r="C8" s="7" t="s">
        <v>45</v>
      </c>
      <c r="D8" s="7" t="s">
        <v>61</v>
      </c>
      <c r="E8" s="7" t="s">
        <v>35</v>
      </c>
      <c r="F8" s="7" t="s">
        <v>62</v>
      </c>
      <c r="G8" s="7">
        <v>2017</v>
      </c>
      <c r="H8" s="7" t="str">
        <f>CONCATENATE("14270159453")</f>
        <v>14270159453</v>
      </c>
      <c r="I8" s="7" t="s">
        <v>40</v>
      </c>
      <c r="J8" s="7" t="s">
        <v>30</v>
      </c>
      <c r="K8" s="7" t="str">
        <f>CONCATENATE("")</f>
        <v/>
      </c>
      <c r="L8" s="7" t="str">
        <f>CONCATENATE("21 21.1 2a")</f>
        <v>21 21.1 2a</v>
      </c>
      <c r="M8" s="7" t="str">
        <f>CONCATENATE("00150060432")</f>
        <v>00150060432</v>
      </c>
      <c r="N8" s="7" t="s">
        <v>63</v>
      </c>
      <c r="O8" s="7" t="s">
        <v>60</v>
      </c>
      <c r="P8" s="8">
        <v>44361</v>
      </c>
      <c r="Q8" s="7" t="s">
        <v>31</v>
      </c>
      <c r="R8" s="7" t="s">
        <v>32</v>
      </c>
      <c r="S8" s="7" t="s">
        <v>33</v>
      </c>
      <c r="T8" s="7"/>
      <c r="U8" s="7" t="s">
        <v>34</v>
      </c>
      <c r="V8" s="9">
        <v>1050</v>
      </c>
      <c r="W8" s="7">
        <v>452.76</v>
      </c>
      <c r="X8" s="7">
        <v>418.11</v>
      </c>
      <c r="Y8" s="7">
        <v>0</v>
      </c>
      <c r="Z8" s="7">
        <v>179.13</v>
      </c>
    </row>
    <row r="9" spans="1:26" x14ac:dyDescent="0.35">
      <c r="A9" s="7" t="s">
        <v>27</v>
      </c>
      <c r="B9" s="7" t="s">
        <v>36</v>
      </c>
      <c r="C9" s="7" t="s">
        <v>45</v>
      </c>
      <c r="D9" s="7" t="s">
        <v>46</v>
      </c>
      <c r="E9" s="7" t="s">
        <v>37</v>
      </c>
      <c r="F9" s="7" t="s">
        <v>37</v>
      </c>
      <c r="G9" s="7">
        <v>2017</v>
      </c>
      <c r="H9" s="7" t="str">
        <f>CONCATENATE("14270159396")</f>
        <v>14270159396</v>
      </c>
      <c r="I9" s="7" t="s">
        <v>29</v>
      </c>
      <c r="J9" s="7" t="s">
        <v>30</v>
      </c>
      <c r="K9" s="7" t="str">
        <f>CONCATENATE("")</f>
        <v/>
      </c>
      <c r="L9" s="7" t="str">
        <f>CONCATENATE("21 21.1 2a")</f>
        <v>21 21.1 2a</v>
      </c>
      <c r="M9" s="7" t="str">
        <f>CONCATENATE("FRDLCN46C63E388H")</f>
        <v>FRDLCN46C63E388H</v>
      </c>
      <c r="N9" s="7" t="s">
        <v>64</v>
      </c>
      <c r="O9" s="7" t="s">
        <v>60</v>
      </c>
      <c r="P9" s="8">
        <v>44361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1260</v>
      </c>
      <c r="W9" s="7">
        <v>543.30999999999995</v>
      </c>
      <c r="X9" s="7">
        <v>501.73</v>
      </c>
      <c r="Y9" s="7">
        <v>0</v>
      </c>
      <c r="Z9" s="7">
        <v>214.96</v>
      </c>
    </row>
    <row r="10" spans="1:26" x14ac:dyDescent="0.35">
      <c r="A10" s="7" t="s">
        <v>27</v>
      </c>
      <c r="B10" s="7" t="s">
        <v>36</v>
      </c>
      <c r="C10" s="7" t="s">
        <v>45</v>
      </c>
      <c r="D10" s="7" t="s">
        <v>46</v>
      </c>
      <c r="E10" s="7" t="s">
        <v>35</v>
      </c>
      <c r="F10" s="7" t="s">
        <v>65</v>
      </c>
      <c r="G10" s="7">
        <v>2017</v>
      </c>
      <c r="H10" s="7" t="str">
        <f>CONCATENATE("14270159347")</f>
        <v>14270159347</v>
      </c>
      <c r="I10" s="7" t="s">
        <v>40</v>
      </c>
      <c r="J10" s="7" t="s">
        <v>30</v>
      </c>
      <c r="K10" s="7" t="str">
        <f>CONCATENATE("")</f>
        <v/>
      </c>
      <c r="L10" s="7" t="str">
        <f>CONCATENATE("21 21.1 2a")</f>
        <v>21 21.1 2a</v>
      </c>
      <c r="M10" s="7" t="str">
        <f>CONCATENATE("00492950423")</f>
        <v>00492950423</v>
      </c>
      <c r="N10" s="7" t="s">
        <v>66</v>
      </c>
      <c r="O10" s="7" t="s">
        <v>60</v>
      </c>
      <c r="P10" s="8">
        <v>44361</v>
      </c>
      <c r="Q10" s="7" t="s">
        <v>31</v>
      </c>
      <c r="R10" s="7" t="s">
        <v>32</v>
      </c>
      <c r="S10" s="7" t="s">
        <v>33</v>
      </c>
      <c r="T10" s="7"/>
      <c r="U10" s="7" t="s">
        <v>34</v>
      </c>
      <c r="V10" s="9">
        <v>2625</v>
      </c>
      <c r="W10" s="9">
        <v>1131.9000000000001</v>
      </c>
      <c r="X10" s="9">
        <v>1045.28</v>
      </c>
      <c r="Y10" s="7">
        <v>0</v>
      </c>
      <c r="Z10" s="7">
        <v>447.82</v>
      </c>
    </row>
    <row r="11" spans="1:26" x14ac:dyDescent="0.35">
      <c r="A11" s="7" t="s">
        <v>27</v>
      </c>
      <c r="B11" s="7" t="s">
        <v>36</v>
      </c>
      <c r="C11" s="7" t="s">
        <v>45</v>
      </c>
      <c r="D11" s="7" t="s">
        <v>61</v>
      </c>
      <c r="E11" s="7" t="s">
        <v>35</v>
      </c>
      <c r="F11" s="7" t="s">
        <v>67</v>
      </c>
      <c r="G11" s="7">
        <v>2017</v>
      </c>
      <c r="H11" s="7" t="str">
        <f>CONCATENATE("14270160287")</f>
        <v>14270160287</v>
      </c>
      <c r="I11" s="7" t="s">
        <v>40</v>
      </c>
      <c r="J11" s="7" t="s">
        <v>30</v>
      </c>
      <c r="K11" s="7" t="str">
        <f>CONCATENATE("")</f>
        <v/>
      </c>
      <c r="L11" s="7" t="str">
        <f>CONCATENATE("21 21.1 2a")</f>
        <v>21 21.1 2a</v>
      </c>
      <c r="M11" s="7" t="str">
        <f>CONCATENATE("NTLNTN55A16C704Q")</f>
        <v>NTLNTN55A16C704Q</v>
      </c>
      <c r="N11" s="7" t="s">
        <v>68</v>
      </c>
      <c r="O11" s="7" t="s">
        <v>60</v>
      </c>
      <c r="P11" s="8">
        <v>44361</v>
      </c>
      <c r="Q11" s="7" t="s">
        <v>31</v>
      </c>
      <c r="R11" s="7" t="s">
        <v>32</v>
      </c>
      <c r="S11" s="7" t="s">
        <v>33</v>
      </c>
      <c r="T11" s="7"/>
      <c r="U11" s="7" t="s">
        <v>34</v>
      </c>
      <c r="V11" s="9">
        <v>1050</v>
      </c>
      <c r="W11" s="7">
        <v>452.76</v>
      </c>
      <c r="X11" s="7">
        <v>418.11</v>
      </c>
      <c r="Y11" s="7">
        <v>0</v>
      </c>
      <c r="Z11" s="7">
        <v>179.13</v>
      </c>
    </row>
    <row r="12" spans="1:26" x14ac:dyDescent="0.35">
      <c r="A12" s="7" t="s">
        <v>27</v>
      </c>
      <c r="B12" s="7" t="s">
        <v>36</v>
      </c>
      <c r="C12" s="7" t="s">
        <v>45</v>
      </c>
      <c r="D12" s="7" t="s">
        <v>61</v>
      </c>
      <c r="E12" s="7" t="s">
        <v>35</v>
      </c>
      <c r="F12" s="7" t="s">
        <v>69</v>
      </c>
      <c r="G12" s="7">
        <v>2017</v>
      </c>
      <c r="H12" s="7" t="str">
        <f>CONCATENATE("14270160279")</f>
        <v>14270160279</v>
      </c>
      <c r="I12" s="7" t="s">
        <v>29</v>
      </c>
      <c r="J12" s="7" t="s">
        <v>30</v>
      </c>
      <c r="K12" s="7" t="str">
        <f>CONCATENATE("")</f>
        <v/>
      </c>
      <c r="L12" s="7" t="str">
        <f>CONCATENATE("21 21.1 2a")</f>
        <v>21 21.1 2a</v>
      </c>
      <c r="M12" s="7" t="str">
        <f>CONCATENATE("01046830434")</f>
        <v>01046830434</v>
      </c>
      <c r="N12" s="7" t="s">
        <v>70</v>
      </c>
      <c r="O12" s="7" t="s">
        <v>60</v>
      </c>
      <c r="P12" s="8">
        <v>44361</v>
      </c>
      <c r="Q12" s="7" t="s">
        <v>31</v>
      </c>
      <c r="R12" s="7" t="s">
        <v>32</v>
      </c>
      <c r="S12" s="7" t="s">
        <v>33</v>
      </c>
      <c r="T12" s="7"/>
      <c r="U12" s="7" t="s">
        <v>34</v>
      </c>
      <c r="V12" s="9">
        <v>2100</v>
      </c>
      <c r="W12" s="7">
        <v>905.52</v>
      </c>
      <c r="X12" s="7">
        <v>836.22</v>
      </c>
      <c r="Y12" s="7">
        <v>0</v>
      </c>
      <c r="Z12" s="7">
        <v>358.26</v>
      </c>
    </row>
    <row r="13" spans="1:26" x14ac:dyDescent="0.35">
      <c r="A13" s="7" t="s">
        <v>27</v>
      </c>
      <c r="B13" s="7" t="s">
        <v>36</v>
      </c>
      <c r="C13" s="7" t="s">
        <v>45</v>
      </c>
      <c r="D13" s="7" t="s">
        <v>61</v>
      </c>
      <c r="E13" s="7" t="s">
        <v>42</v>
      </c>
      <c r="F13" s="7" t="s">
        <v>71</v>
      </c>
      <c r="G13" s="7">
        <v>2017</v>
      </c>
      <c r="H13" s="7" t="str">
        <f>CONCATENATE("14270159420")</f>
        <v>14270159420</v>
      </c>
      <c r="I13" s="7" t="s">
        <v>40</v>
      </c>
      <c r="J13" s="7" t="s">
        <v>30</v>
      </c>
      <c r="K13" s="7" t="str">
        <f>CONCATENATE("")</f>
        <v/>
      </c>
      <c r="L13" s="7" t="str">
        <f>CONCATENATE("21 21.1 2a")</f>
        <v>21 21.1 2a</v>
      </c>
      <c r="M13" s="7" t="str">
        <f>CONCATENATE("00876290438")</f>
        <v>00876290438</v>
      </c>
      <c r="N13" s="7" t="s">
        <v>72</v>
      </c>
      <c r="O13" s="7" t="s">
        <v>60</v>
      </c>
      <c r="P13" s="8">
        <v>44361</v>
      </c>
      <c r="Q13" s="7" t="s">
        <v>31</v>
      </c>
      <c r="R13" s="7" t="s">
        <v>32</v>
      </c>
      <c r="S13" s="7" t="s">
        <v>33</v>
      </c>
      <c r="T13" s="7"/>
      <c r="U13" s="7" t="s">
        <v>34</v>
      </c>
      <c r="V13" s="9">
        <v>1680</v>
      </c>
      <c r="W13" s="7">
        <v>724.42</v>
      </c>
      <c r="X13" s="7">
        <v>668.98</v>
      </c>
      <c r="Y13" s="7">
        <v>0</v>
      </c>
      <c r="Z13" s="7">
        <v>286.60000000000002</v>
      </c>
    </row>
    <row r="14" spans="1:26" x14ac:dyDescent="0.35">
      <c r="A14" s="7" t="s">
        <v>27</v>
      </c>
      <c r="B14" s="7" t="s">
        <v>36</v>
      </c>
      <c r="C14" s="7" t="s">
        <v>45</v>
      </c>
      <c r="D14" s="7" t="s">
        <v>61</v>
      </c>
      <c r="E14" s="7" t="s">
        <v>35</v>
      </c>
      <c r="F14" s="7" t="s">
        <v>69</v>
      </c>
      <c r="G14" s="7">
        <v>2017</v>
      </c>
      <c r="H14" s="7" t="str">
        <f>CONCATENATE("14270159362")</f>
        <v>14270159362</v>
      </c>
      <c r="I14" s="7" t="s">
        <v>40</v>
      </c>
      <c r="J14" s="7" t="s">
        <v>30</v>
      </c>
      <c r="K14" s="7" t="str">
        <f>CONCATENATE("")</f>
        <v/>
      </c>
      <c r="L14" s="7" t="str">
        <f>CONCATENATE("21 21.1 2a")</f>
        <v>21 21.1 2a</v>
      </c>
      <c r="M14" s="7" t="str">
        <f>CONCATENATE("01713010435")</f>
        <v>01713010435</v>
      </c>
      <c r="N14" s="7" t="s">
        <v>73</v>
      </c>
      <c r="O14" s="7" t="s">
        <v>60</v>
      </c>
      <c r="P14" s="8">
        <v>44361</v>
      </c>
      <c r="Q14" s="7" t="s">
        <v>31</v>
      </c>
      <c r="R14" s="7" t="s">
        <v>32</v>
      </c>
      <c r="S14" s="7" t="s">
        <v>33</v>
      </c>
      <c r="T14" s="7"/>
      <c r="U14" s="7" t="s">
        <v>34</v>
      </c>
      <c r="V14" s="9">
        <v>4200</v>
      </c>
      <c r="W14" s="9">
        <v>1811.04</v>
      </c>
      <c r="X14" s="9">
        <v>1672.44</v>
      </c>
      <c r="Y14" s="7">
        <v>0</v>
      </c>
      <c r="Z14" s="7">
        <v>716.52</v>
      </c>
    </row>
    <row r="15" spans="1:26" ht="17.5" x14ac:dyDescent="0.35">
      <c r="A15" s="7" t="s">
        <v>27</v>
      </c>
      <c r="B15" s="7" t="s">
        <v>36</v>
      </c>
      <c r="C15" s="7" t="s">
        <v>45</v>
      </c>
      <c r="D15" s="7" t="s">
        <v>57</v>
      </c>
      <c r="E15" s="7" t="s">
        <v>35</v>
      </c>
      <c r="F15" s="7" t="s">
        <v>74</v>
      </c>
      <c r="G15" s="7">
        <v>2017</v>
      </c>
      <c r="H15" s="7" t="str">
        <f>CONCATENATE("14270159438")</f>
        <v>14270159438</v>
      </c>
      <c r="I15" s="7" t="s">
        <v>40</v>
      </c>
      <c r="J15" s="7" t="s">
        <v>30</v>
      </c>
      <c r="K15" s="7" t="str">
        <f>CONCATENATE("")</f>
        <v/>
      </c>
      <c r="L15" s="7" t="str">
        <f>CONCATENATE("21 21.1 2a")</f>
        <v>21 21.1 2a</v>
      </c>
      <c r="M15" s="7" t="str">
        <f>CONCATENATE("01358310413")</f>
        <v>01358310413</v>
      </c>
      <c r="N15" s="7" t="s">
        <v>75</v>
      </c>
      <c r="O15" s="7" t="s">
        <v>60</v>
      </c>
      <c r="P15" s="8">
        <v>44361</v>
      </c>
      <c r="Q15" s="7" t="s">
        <v>31</v>
      </c>
      <c r="R15" s="7" t="s">
        <v>32</v>
      </c>
      <c r="S15" s="7" t="s">
        <v>33</v>
      </c>
      <c r="T15" s="7"/>
      <c r="U15" s="7" t="s">
        <v>34</v>
      </c>
      <c r="V15" s="9">
        <v>4200</v>
      </c>
      <c r="W15" s="9">
        <v>1811.04</v>
      </c>
      <c r="X15" s="9">
        <v>1672.44</v>
      </c>
      <c r="Y15" s="7">
        <v>0</v>
      </c>
      <c r="Z15" s="7">
        <v>716.52</v>
      </c>
    </row>
    <row r="16" spans="1:26" x14ac:dyDescent="0.35">
      <c r="A16" s="7" t="s">
        <v>27</v>
      </c>
      <c r="B16" s="7" t="s">
        <v>36</v>
      </c>
      <c r="C16" s="7" t="s">
        <v>45</v>
      </c>
      <c r="D16" s="7" t="s">
        <v>61</v>
      </c>
      <c r="E16" s="7" t="s">
        <v>35</v>
      </c>
      <c r="F16" s="7" t="s">
        <v>76</v>
      </c>
      <c r="G16" s="7">
        <v>2017</v>
      </c>
      <c r="H16" s="7" t="str">
        <f>CONCATENATE("14270159446")</f>
        <v>14270159446</v>
      </c>
      <c r="I16" s="7" t="s">
        <v>29</v>
      </c>
      <c r="J16" s="7" t="s">
        <v>30</v>
      </c>
      <c r="K16" s="7" t="str">
        <f>CONCATENATE("")</f>
        <v/>
      </c>
      <c r="L16" s="7" t="str">
        <f>CONCATENATE("21 21.1 2a")</f>
        <v>21 21.1 2a</v>
      </c>
      <c r="M16" s="7" t="str">
        <f>CONCATENATE("01907690430")</f>
        <v>01907690430</v>
      </c>
      <c r="N16" s="7" t="s">
        <v>77</v>
      </c>
      <c r="O16" s="7" t="s">
        <v>60</v>
      </c>
      <c r="P16" s="8">
        <v>44361</v>
      </c>
      <c r="Q16" s="7" t="s">
        <v>31</v>
      </c>
      <c r="R16" s="7" t="s">
        <v>32</v>
      </c>
      <c r="S16" s="7" t="s">
        <v>33</v>
      </c>
      <c r="T16" s="7"/>
      <c r="U16" s="7" t="s">
        <v>34</v>
      </c>
      <c r="V16" s="9">
        <v>5535</v>
      </c>
      <c r="W16" s="9">
        <v>2386.69</v>
      </c>
      <c r="X16" s="9">
        <v>2204.04</v>
      </c>
      <c r="Y16" s="7">
        <v>0</v>
      </c>
      <c r="Z16" s="7">
        <v>944.27</v>
      </c>
    </row>
    <row r="17" spans="1:26" x14ac:dyDescent="0.35">
      <c r="A17" s="7" t="s">
        <v>27</v>
      </c>
      <c r="B17" s="7" t="s">
        <v>36</v>
      </c>
      <c r="C17" s="7" t="s">
        <v>45</v>
      </c>
      <c r="D17" s="7" t="s">
        <v>61</v>
      </c>
      <c r="E17" s="7" t="s">
        <v>42</v>
      </c>
      <c r="F17" s="7" t="s">
        <v>78</v>
      </c>
      <c r="G17" s="7">
        <v>2017</v>
      </c>
      <c r="H17" s="7" t="str">
        <f>CONCATENATE("14270159370")</f>
        <v>14270159370</v>
      </c>
      <c r="I17" s="7" t="s">
        <v>29</v>
      </c>
      <c r="J17" s="7" t="s">
        <v>30</v>
      </c>
      <c r="K17" s="7" t="str">
        <f>CONCATENATE("")</f>
        <v/>
      </c>
      <c r="L17" s="7" t="str">
        <f>CONCATENATE("21 21.1 2a")</f>
        <v>21 21.1 2a</v>
      </c>
      <c r="M17" s="7" t="str">
        <f>CONCATENATE("01345240434")</f>
        <v>01345240434</v>
      </c>
      <c r="N17" s="7" t="s">
        <v>79</v>
      </c>
      <c r="O17" s="7" t="s">
        <v>60</v>
      </c>
      <c r="P17" s="8">
        <v>44361</v>
      </c>
      <c r="Q17" s="7" t="s">
        <v>31</v>
      </c>
      <c r="R17" s="7" t="s">
        <v>32</v>
      </c>
      <c r="S17" s="7" t="s">
        <v>33</v>
      </c>
      <c r="T17" s="7"/>
      <c r="U17" s="7" t="s">
        <v>34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36</v>
      </c>
      <c r="C18" s="7" t="s">
        <v>45</v>
      </c>
      <c r="D18" s="7" t="s">
        <v>61</v>
      </c>
      <c r="E18" s="7" t="s">
        <v>35</v>
      </c>
      <c r="F18" s="7" t="s">
        <v>76</v>
      </c>
      <c r="G18" s="7">
        <v>2017</v>
      </c>
      <c r="H18" s="7" t="str">
        <f>CONCATENATE("14270159354")</f>
        <v>14270159354</v>
      </c>
      <c r="I18" s="7" t="s">
        <v>29</v>
      </c>
      <c r="J18" s="7" t="s">
        <v>30</v>
      </c>
      <c r="K18" s="7" t="str">
        <f>CONCATENATE("")</f>
        <v/>
      </c>
      <c r="L18" s="7" t="str">
        <f>CONCATENATE("21 21.1 2a")</f>
        <v>21 21.1 2a</v>
      </c>
      <c r="M18" s="7" t="str">
        <f>CONCATENATE("01675450439")</f>
        <v>01675450439</v>
      </c>
      <c r="N18" s="7" t="s">
        <v>80</v>
      </c>
      <c r="O18" s="7" t="s">
        <v>60</v>
      </c>
      <c r="P18" s="8">
        <v>44361</v>
      </c>
      <c r="Q18" s="7" t="s">
        <v>31</v>
      </c>
      <c r="R18" s="7" t="s">
        <v>32</v>
      </c>
      <c r="S18" s="7" t="s">
        <v>33</v>
      </c>
      <c r="T18" s="7"/>
      <c r="U18" s="7" t="s">
        <v>34</v>
      </c>
      <c r="V18" s="9">
        <v>3750</v>
      </c>
      <c r="W18" s="9">
        <v>1617</v>
      </c>
      <c r="X18" s="9">
        <v>1493.25</v>
      </c>
      <c r="Y18" s="7">
        <v>0</v>
      </c>
      <c r="Z18" s="7">
        <v>639.75</v>
      </c>
    </row>
    <row r="19" spans="1:26" x14ac:dyDescent="0.35">
      <c r="A19" s="7" t="s">
        <v>27</v>
      </c>
      <c r="B19" s="7" t="s">
        <v>36</v>
      </c>
      <c r="C19" s="7" t="s">
        <v>45</v>
      </c>
      <c r="D19" s="7" t="s">
        <v>57</v>
      </c>
      <c r="E19" s="7" t="s">
        <v>35</v>
      </c>
      <c r="F19" s="7" t="s">
        <v>81</v>
      </c>
      <c r="G19" s="7">
        <v>2017</v>
      </c>
      <c r="H19" s="7" t="str">
        <f>CONCATENATE("14270159412")</f>
        <v>14270159412</v>
      </c>
      <c r="I19" s="7" t="s">
        <v>29</v>
      </c>
      <c r="J19" s="7" t="s">
        <v>30</v>
      </c>
      <c r="K19" s="7" t="str">
        <f>CONCATENATE("")</f>
        <v/>
      </c>
      <c r="L19" s="7" t="str">
        <f>CONCATENATE("21 21.1 2a")</f>
        <v>21 21.1 2a</v>
      </c>
      <c r="M19" s="7" t="str">
        <f>CONCATENATE("RMTGNN74D27D749J")</f>
        <v>RMTGNN74D27D749J</v>
      </c>
      <c r="N19" s="7" t="s">
        <v>82</v>
      </c>
      <c r="O19" s="7" t="s">
        <v>60</v>
      </c>
      <c r="P19" s="8">
        <v>44361</v>
      </c>
      <c r="Q19" s="7" t="s">
        <v>31</v>
      </c>
      <c r="R19" s="7" t="s">
        <v>32</v>
      </c>
      <c r="S19" s="7" t="s">
        <v>33</v>
      </c>
      <c r="T19" s="7"/>
      <c r="U19" s="7" t="s">
        <v>34</v>
      </c>
      <c r="V19" s="9">
        <v>1050</v>
      </c>
      <c r="W19" s="7">
        <v>452.76</v>
      </c>
      <c r="X19" s="7">
        <v>418.11</v>
      </c>
      <c r="Y19" s="7">
        <v>0</v>
      </c>
      <c r="Z19" s="7">
        <v>179.13</v>
      </c>
    </row>
    <row r="20" spans="1:26" x14ac:dyDescent="0.35">
      <c r="A20" s="7" t="s">
        <v>27</v>
      </c>
      <c r="B20" s="7" t="s">
        <v>36</v>
      </c>
      <c r="C20" s="7" t="s">
        <v>45</v>
      </c>
      <c r="D20" s="7" t="s">
        <v>61</v>
      </c>
      <c r="E20" s="7" t="s">
        <v>35</v>
      </c>
      <c r="F20" s="7" t="s">
        <v>69</v>
      </c>
      <c r="G20" s="7">
        <v>2017</v>
      </c>
      <c r="H20" s="7" t="str">
        <f>CONCATENATE("14270159388")</f>
        <v>14270159388</v>
      </c>
      <c r="I20" s="7" t="s">
        <v>29</v>
      </c>
      <c r="J20" s="7" t="s">
        <v>30</v>
      </c>
      <c r="K20" s="7" t="str">
        <f>CONCATENATE("")</f>
        <v/>
      </c>
      <c r="L20" s="7" t="str">
        <f>CONCATENATE("21 21.1 2a")</f>
        <v>21 21.1 2a</v>
      </c>
      <c r="M20" s="7" t="str">
        <f>CONCATENATE("00395910433")</f>
        <v>00395910433</v>
      </c>
      <c r="N20" s="7" t="s">
        <v>83</v>
      </c>
      <c r="O20" s="7" t="s">
        <v>60</v>
      </c>
      <c r="P20" s="8">
        <v>44361</v>
      </c>
      <c r="Q20" s="7" t="s">
        <v>31</v>
      </c>
      <c r="R20" s="7" t="s">
        <v>32</v>
      </c>
      <c r="S20" s="7" t="s">
        <v>33</v>
      </c>
      <c r="T20" s="7"/>
      <c r="U20" s="7" t="s">
        <v>34</v>
      </c>
      <c r="V20" s="9">
        <v>2625</v>
      </c>
      <c r="W20" s="9">
        <v>1131.9000000000001</v>
      </c>
      <c r="X20" s="9">
        <v>1045.28</v>
      </c>
      <c r="Y20" s="7">
        <v>0</v>
      </c>
      <c r="Z20" s="7">
        <v>447.82</v>
      </c>
    </row>
    <row r="21" spans="1:26" x14ac:dyDescent="0.35">
      <c r="A21" s="7" t="s">
        <v>27</v>
      </c>
      <c r="B21" s="7" t="s">
        <v>36</v>
      </c>
      <c r="C21" s="7" t="s">
        <v>45</v>
      </c>
      <c r="D21" s="7" t="s">
        <v>45</v>
      </c>
      <c r="E21" s="7" t="s">
        <v>37</v>
      </c>
      <c r="F21" s="7" t="s">
        <v>37</v>
      </c>
      <c r="G21" s="7">
        <v>2017</v>
      </c>
      <c r="H21" s="7" t="str">
        <f>CONCATENATE("14270165468")</f>
        <v>14270165468</v>
      </c>
      <c r="I21" s="7" t="s">
        <v>29</v>
      </c>
      <c r="J21" s="7" t="s">
        <v>30</v>
      </c>
      <c r="K21" s="7" t="str">
        <f>CONCATENATE("")</f>
        <v/>
      </c>
      <c r="L21" s="7" t="str">
        <f>CONCATENATE("19 19.2 6b")</f>
        <v>19 19.2 6b</v>
      </c>
      <c r="M21" s="7" t="str">
        <f>CONCATENATE("BLDVLI00R67D488S")</f>
        <v>BLDVLI00R67D488S</v>
      </c>
      <c r="N21" s="7" t="s">
        <v>84</v>
      </c>
      <c r="O21" s="7" t="s">
        <v>85</v>
      </c>
      <c r="P21" s="8">
        <v>44361</v>
      </c>
      <c r="Q21" s="7" t="s">
        <v>31</v>
      </c>
      <c r="R21" s="7" t="s">
        <v>43</v>
      </c>
      <c r="S21" s="7" t="s">
        <v>33</v>
      </c>
      <c r="T21" s="7"/>
      <c r="U21" s="7" t="s">
        <v>34</v>
      </c>
      <c r="V21" s="9">
        <v>15000</v>
      </c>
      <c r="W21" s="9">
        <v>6468</v>
      </c>
      <c r="X21" s="9">
        <v>5973</v>
      </c>
      <c r="Y21" s="7">
        <v>0</v>
      </c>
      <c r="Z21" s="9">
        <v>2559</v>
      </c>
    </row>
    <row r="22" spans="1:26" x14ac:dyDescent="0.35">
      <c r="A22" s="7" t="s">
        <v>27</v>
      </c>
      <c r="B22" s="7" t="s">
        <v>28</v>
      </c>
      <c r="C22" s="7" t="s">
        <v>45</v>
      </c>
      <c r="D22" s="7" t="s">
        <v>61</v>
      </c>
      <c r="E22" s="7" t="s">
        <v>41</v>
      </c>
      <c r="F22" s="7" t="s">
        <v>86</v>
      </c>
      <c r="G22" s="7">
        <v>2020</v>
      </c>
      <c r="H22" s="7" t="str">
        <f>CONCATENATE("04210878387")</f>
        <v>04210878387</v>
      </c>
      <c r="I22" s="7" t="s">
        <v>29</v>
      </c>
      <c r="J22" s="7" t="s">
        <v>30</v>
      </c>
      <c r="K22" s="7" t="str">
        <f>CONCATENATE("")</f>
        <v/>
      </c>
      <c r="L22" s="7" t="str">
        <f>CONCATENATE("12 12.1 4a")</f>
        <v>12 12.1 4a</v>
      </c>
      <c r="M22" s="7" t="str">
        <f>CONCATENATE("01815530439")</f>
        <v>01815530439</v>
      </c>
      <c r="N22" s="7" t="s">
        <v>87</v>
      </c>
      <c r="O22" s="7" t="s">
        <v>88</v>
      </c>
      <c r="P22" s="8">
        <v>44361</v>
      </c>
      <c r="Q22" s="7" t="s">
        <v>31</v>
      </c>
      <c r="R22" s="7" t="s">
        <v>32</v>
      </c>
      <c r="S22" s="7" t="s">
        <v>33</v>
      </c>
      <c r="T22" s="7"/>
      <c r="U22" s="7" t="s">
        <v>34</v>
      </c>
      <c r="V22" s="9">
        <v>1642.18</v>
      </c>
      <c r="W22" s="7">
        <v>708.11</v>
      </c>
      <c r="X22" s="7">
        <v>653.91999999999996</v>
      </c>
      <c r="Y22" s="7">
        <v>0</v>
      </c>
      <c r="Z22" s="7">
        <v>280.14999999999998</v>
      </c>
    </row>
    <row r="23" spans="1:26" x14ac:dyDescent="0.35">
      <c r="A23" s="7" t="s">
        <v>27</v>
      </c>
      <c r="B23" s="7" t="s">
        <v>28</v>
      </c>
      <c r="C23" s="7" t="s">
        <v>45</v>
      </c>
      <c r="D23" s="7" t="s">
        <v>61</v>
      </c>
      <c r="E23" s="7" t="s">
        <v>38</v>
      </c>
      <c r="F23" s="7" t="s">
        <v>89</v>
      </c>
      <c r="G23" s="7">
        <v>2020</v>
      </c>
      <c r="H23" s="7" t="str">
        <f>CONCATENATE("04240900623")</f>
        <v>04240900623</v>
      </c>
      <c r="I23" s="7" t="s">
        <v>29</v>
      </c>
      <c r="J23" s="7" t="s">
        <v>30</v>
      </c>
      <c r="K23" s="7" t="str">
        <f>CONCATENATE("")</f>
        <v/>
      </c>
      <c r="L23" s="7" t="str">
        <f>CONCATENATE("10 10.1 4a")</f>
        <v>10 10.1 4a</v>
      </c>
      <c r="M23" s="7" t="str">
        <f>CONCATENATE("PNTSTD94A05B474A")</f>
        <v>PNTSTD94A05B474A</v>
      </c>
      <c r="N23" s="7" t="s">
        <v>90</v>
      </c>
      <c r="O23" s="7" t="s">
        <v>91</v>
      </c>
      <c r="P23" s="8">
        <v>44361</v>
      </c>
      <c r="Q23" s="7" t="s">
        <v>31</v>
      </c>
      <c r="R23" s="7" t="s">
        <v>32</v>
      </c>
      <c r="S23" s="7" t="s">
        <v>33</v>
      </c>
      <c r="T23" s="7"/>
      <c r="U23" s="7" t="s">
        <v>34</v>
      </c>
      <c r="V23" s="9">
        <v>7314.23</v>
      </c>
      <c r="W23" s="9">
        <v>3153.9</v>
      </c>
      <c r="X23" s="9">
        <v>2912.53</v>
      </c>
      <c r="Y23" s="7">
        <v>0</v>
      </c>
      <c r="Z23" s="9">
        <v>1247.8</v>
      </c>
    </row>
    <row r="24" spans="1:26" x14ac:dyDescent="0.35">
      <c r="A24" s="7" t="s">
        <v>27</v>
      </c>
      <c r="B24" s="7" t="s">
        <v>36</v>
      </c>
      <c r="C24" s="7" t="s">
        <v>45</v>
      </c>
      <c r="D24" s="7" t="s">
        <v>61</v>
      </c>
      <c r="E24" s="7" t="s">
        <v>42</v>
      </c>
      <c r="F24" s="7" t="s">
        <v>71</v>
      </c>
      <c r="G24" s="7">
        <v>2017</v>
      </c>
      <c r="H24" s="7" t="str">
        <f>CONCATENATE("14270151195")</f>
        <v>14270151195</v>
      </c>
      <c r="I24" s="7" t="s">
        <v>29</v>
      </c>
      <c r="J24" s="7" t="s">
        <v>30</v>
      </c>
      <c r="K24" s="7" t="str">
        <f>CONCATENATE("")</f>
        <v/>
      </c>
      <c r="L24" s="7" t="str">
        <f>CONCATENATE("21 21.1 2a")</f>
        <v>21 21.1 2a</v>
      </c>
      <c r="M24" s="7" t="str">
        <f>CONCATENATE("CPPSFN72L29F051U")</f>
        <v>CPPSFN72L29F051U</v>
      </c>
      <c r="N24" s="7" t="s">
        <v>92</v>
      </c>
      <c r="O24" s="7" t="s">
        <v>93</v>
      </c>
      <c r="P24" s="8">
        <v>44354</v>
      </c>
      <c r="Q24" s="7" t="s">
        <v>31</v>
      </c>
      <c r="R24" s="7" t="s">
        <v>32</v>
      </c>
      <c r="S24" s="7" t="s">
        <v>33</v>
      </c>
      <c r="T24" s="7"/>
      <c r="U24" s="7" t="s">
        <v>34</v>
      </c>
      <c r="V24" s="9">
        <v>2100</v>
      </c>
      <c r="W24" s="7">
        <v>905.52</v>
      </c>
      <c r="X24" s="7">
        <v>836.22</v>
      </c>
      <c r="Y24" s="7">
        <v>0</v>
      </c>
      <c r="Z24" s="7">
        <v>358.26</v>
      </c>
    </row>
    <row r="25" spans="1:26" x14ac:dyDescent="0.35">
      <c r="A25" s="7" t="s">
        <v>27</v>
      </c>
      <c r="B25" s="7" t="s">
        <v>36</v>
      </c>
      <c r="C25" s="7" t="s">
        <v>45</v>
      </c>
      <c r="D25" s="7" t="s">
        <v>45</v>
      </c>
      <c r="E25" s="7" t="s">
        <v>37</v>
      </c>
      <c r="F25" s="7" t="s">
        <v>37</v>
      </c>
      <c r="G25" s="7">
        <v>2017</v>
      </c>
      <c r="H25" s="7" t="str">
        <f>CONCATENATE("14270161947")</f>
        <v>14270161947</v>
      </c>
      <c r="I25" s="7" t="s">
        <v>29</v>
      </c>
      <c r="J25" s="7" t="s">
        <v>30</v>
      </c>
      <c r="K25" s="7" t="str">
        <f>CONCATENATE("")</f>
        <v/>
      </c>
      <c r="L25" s="7" t="str">
        <f>CONCATENATE("19 19.2 6b")</f>
        <v>19 19.2 6b</v>
      </c>
      <c r="M25" s="7" t="str">
        <f>CONCATENATE("02427640442")</f>
        <v>02427640442</v>
      </c>
      <c r="N25" s="7" t="s">
        <v>94</v>
      </c>
      <c r="O25" s="7" t="s">
        <v>95</v>
      </c>
      <c r="P25" s="8">
        <v>44361</v>
      </c>
      <c r="Q25" s="7" t="s">
        <v>31</v>
      </c>
      <c r="R25" s="7" t="s">
        <v>43</v>
      </c>
      <c r="S25" s="7" t="s">
        <v>33</v>
      </c>
      <c r="T25" s="7"/>
      <c r="U25" s="7" t="s">
        <v>34</v>
      </c>
      <c r="V25" s="9">
        <v>17000</v>
      </c>
      <c r="W25" s="9">
        <v>7330.4</v>
      </c>
      <c r="X25" s="9">
        <v>6769.4</v>
      </c>
      <c r="Y25" s="7">
        <v>0</v>
      </c>
      <c r="Z25" s="9">
        <v>2900.2</v>
      </c>
    </row>
    <row r="26" spans="1:26" x14ac:dyDescent="0.35">
      <c r="A26" s="7" t="s">
        <v>27</v>
      </c>
      <c r="B26" s="7" t="s">
        <v>36</v>
      </c>
      <c r="C26" s="7" t="s">
        <v>45</v>
      </c>
      <c r="D26" s="7" t="s">
        <v>45</v>
      </c>
      <c r="E26" s="7" t="s">
        <v>37</v>
      </c>
      <c r="F26" s="7" t="s">
        <v>37</v>
      </c>
      <c r="G26" s="7">
        <v>2017</v>
      </c>
      <c r="H26" s="7" t="str">
        <f>CONCATENATE("14270148829")</f>
        <v>14270148829</v>
      </c>
      <c r="I26" s="7" t="s">
        <v>29</v>
      </c>
      <c r="J26" s="7" t="s">
        <v>30</v>
      </c>
      <c r="K26" s="7" t="str">
        <f>CONCATENATE("")</f>
        <v/>
      </c>
      <c r="L26" s="7" t="str">
        <f>CONCATENATE("19 19.2 6b")</f>
        <v>19 19.2 6b</v>
      </c>
      <c r="M26" s="7" t="str">
        <f>CONCATENATE("MTTLNZ83H16A271S")</f>
        <v>MTTLNZ83H16A271S</v>
      </c>
      <c r="N26" s="7" t="s">
        <v>96</v>
      </c>
      <c r="O26" s="7" t="s">
        <v>95</v>
      </c>
      <c r="P26" s="8">
        <v>44361</v>
      </c>
      <c r="Q26" s="7" t="s">
        <v>31</v>
      </c>
      <c r="R26" s="7" t="s">
        <v>43</v>
      </c>
      <c r="S26" s="7" t="s">
        <v>33</v>
      </c>
      <c r="T26" s="7"/>
      <c r="U26" s="7" t="s">
        <v>34</v>
      </c>
      <c r="V26" s="9">
        <v>20000</v>
      </c>
      <c r="W26" s="9">
        <v>8624</v>
      </c>
      <c r="X26" s="9">
        <v>7964</v>
      </c>
      <c r="Y26" s="7">
        <v>0</v>
      </c>
      <c r="Z26" s="9">
        <v>3412</v>
      </c>
    </row>
    <row r="27" spans="1:26" x14ac:dyDescent="0.35">
      <c r="A27" s="7" t="s">
        <v>27</v>
      </c>
      <c r="B27" s="7" t="s">
        <v>36</v>
      </c>
      <c r="C27" s="7" t="s">
        <v>45</v>
      </c>
      <c r="D27" s="7" t="s">
        <v>45</v>
      </c>
      <c r="E27" s="7" t="s">
        <v>37</v>
      </c>
      <c r="F27" s="7" t="s">
        <v>37</v>
      </c>
      <c r="G27" s="7">
        <v>2017</v>
      </c>
      <c r="H27" s="7" t="str">
        <f>CONCATENATE("14270148845")</f>
        <v>14270148845</v>
      </c>
      <c r="I27" s="7" t="s">
        <v>29</v>
      </c>
      <c r="J27" s="7" t="s">
        <v>30</v>
      </c>
      <c r="K27" s="7" t="str">
        <f>CONCATENATE("")</f>
        <v/>
      </c>
      <c r="L27" s="7" t="str">
        <f>CONCATENATE("19 19.2 6b")</f>
        <v>19 19.2 6b</v>
      </c>
      <c r="M27" s="7" t="str">
        <f>CONCATENATE("PTRSRN91P42D542Y")</f>
        <v>PTRSRN91P42D542Y</v>
      </c>
      <c r="N27" s="7" t="s">
        <v>97</v>
      </c>
      <c r="O27" s="7" t="s">
        <v>95</v>
      </c>
      <c r="P27" s="8">
        <v>44361</v>
      </c>
      <c r="Q27" s="7" t="s">
        <v>31</v>
      </c>
      <c r="R27" s="7" t="s">
        <v>43</v>
      </c>
      <c r="S27" s="7" t="s">
        <v>33</v>
      </c>
      <c r="T27" s="7"/>
      <c r="U27" s="7" t="s">
        <v>34</v>
      </c>
      <c r="V27" s="9">
        <v>17000</v>
      </c>
      <c r="W27" s="9">
        <v>7330.4</v>
      </c>
      <c r="X27" s="9">
        <v>6769.4</v>
      </c>
      <c r="Y27" s="7">
        <v>0</v>
      </c>
      <c r="Z27" s="9">
        <v>2900.2</v>
      </c>
    </row>
    <row r="28" spans="1:26" x14ac:dyDescent="0.35">
      <c r="A28" s="7" t="s">
        <v>27</v>
      </c>
      <c r="B28" s="7" t="s">
        <v>36</v>
      </c>
      <c r="C28" s="7" t="s">
        <v>45</v>
      </c>
      <c r="D28" s="7" t="s">
        <v>45</v>
      </c>
      <c r="E28" s="7" t="s">
        <v>37</v>
      </c>
      <c r="F28" s="7" t="s">
        <v>37</v>
      </c>
      <c r="G28" s="7">
        <v>2017</v>
      </c>
      <c r="H28" s="7" t="str">
        <f>CONCATENATE("14270156418")</f>
        <v>14270156418</v>
      </c>
      <c r="I28" s="7" t="s">
        <v>29</v>
      </c>
      <c r="J28" s="7" t="s">
        <v>30</v>
      </c>
      <c r="K28" s="7" t="str">
        <f>CONCATENATE("")</f>
        <v/>
      </c>
      <c r="L28" s="7" t="str">
        <f>CONCATENATE("19 19.2 6b")</f>
        <v>19 19.2 6b</v>
      </c>
      <c r="M28" s="7" t="str">
        <f>CONCATENATE("02446230449")</f>
        <v>02446230449</v>
      </c>
      <c r="N28" s="7" t="s">
        <v>98</v>
      </c>
      <c r="O28" s="7" t="s">
        <v>95</v>
      </c>
      <c r="P28" s="8">
        <v>44361</v>
      </c>
      <c r="Q28" s="7" t="s">
        <v>31</v>
      </c>
      <c r="R28" s="7" t="s">
        <v>43</v>
      </c>
      <c r="S28" s="7" t="s">
        <v>33</v>
      </c>
      <c r="T28" s="7"/>
      <c r="U28" s="7" t="s">
        <v>34</v>
      </c>
      <c r="V28" s="9">
        <v>17000</v>
      </c>
      <c r="W28" s="9">
        <v>7330.4</v>
      </c>
      <c r="X28" s="9">
        <v>6769.4</v>
      </c>
      <c r="Y28" s="7">
        <v>0</v>
      </c>
      <c r="Z28" s="9">
        <v>2900.2</v>
      </c>
    </row>
    <row r="29" spans="1:26" x14ac:dyDescent="0.35">
      <c r="A29" s="7" t="s">
        <v>27</v>
      </c>
      <c r="B29" s="7" t="s">
        <v>36</v>
      </c>
      <c r="C29" s="7" t="s">
        <v>45</v>
      </c>
      <c r="D29" s="7" t="s">
        <v>45</v>
      </c>
      <c r="E29" s="7" t="s">
        <v>37</v>
      </c>
      <c r="F29" s="7" t="s">
        <v>37</v>
      </c>
      <c r="G29" s="7">
        <v>2017</v>
      </c>
      <c r="H29" s="7" t="str">
        <f>CONCATENATE("14270148837")</f>
        <v>14270148837</v>
      </c>
      <c r="I29" s="7" t="s">
        <v>29</v>
      </c>
      <c r="J29" s="7" t="s">
        <v>30</v>
      </c>
      <c r="K29" s="7" t="str">
        <f>CONCATENATE("")</f>
        <v/>
      </c>
      <c r="L29" s="7" t="str">
        <f>CONCATENATE("19 19.2 6b")</f>
        <v>19 19.2 6b</v>
      </c>
      <c r="M29" s="7" t="str">
        <f>CONCATENATE("SLNCRN77H70G920P")</f>
        <v>SLNCRN77H70G920P</v>
      </c>
      <c r="N29" s="7" t="s">
        <v>99</v>
      </c>
      <c r="O29" s="7" t="s">
        <v>95</v>
      </c>
      <c r="P29" s="8">
        <v>44361</v>
      </c>
      <c r="Q29" s="7" t="s">
        <v>31</v>
      </c>
      <c r="R29" s="7" t="s">
        <v>43</v>
      </c>
      <c r="S29" s="7" t="s">
        <v>33</v>
      </c>
      <c r="T29" s="7"/>
      <c r="U29" s="7" t="s">
        <v>34</v>
      </c>
      <c r="V29" s="9">
        <v>17000</v>
      </c>
      <c r="W29" s="9">
        <v>7330.4</v>
      </c>
      <c r="X29" s="9">
        <v>6769.4</v>
      </c>
      <c r="Y29" s="7">
        <v>0</v>
      </c>
      <c r="Z29" s="9">
        <v>2900.2</v>
      </c>
    </row>
    <row r="30" spans="1:26" x14ac:dyDescent="0.35">
      <c r="A30" s="7" t="s">
        <v>27</v>
      </c>
      <c r="B30" s="7" t="s">
        <v>36</v>
      </c>
      <c r="C30" s="7" t="s">
        <v>45</v>
      </c>
      <c r="D30" s="7" t="s">
        <v>45</v>
      </c>
      <c r="E30" s="7" t="s">
        <v>37</v>
      </c>
      <c r="F30" s="7" t="s">
        <v>37</v>
      </c>
      <c r="G30" s="7">
        <v>2017</v>
      </c>
      <c r="H30" s="7" t="str">
        <f>CONCATENATE("14270165476")</f>
        <v>14270165476</v>
      </c>
      <c r="I30" s="7" t="s">
        <v>29</v>
      </c>
      <c r="J30" s="7" t="s">
        <v>30</v>
      </c>
      <c r="K30" s="7" t="str">
        <f>CONCATENATE("")</f>
        <v/>
      </c>
      <c r="L30" s="7" t="str">
        <f>CONCATENATE("19 19.2 6b")</f>
        <v>19 19.2 6b</v>
      </c>
      <c r="M30" s="7" t="str">
        <f>CONCATENATE("80000490443")</f>
        <v>80000490443</v>
      </c>
      <c r="N30" s="7" t="s">
        <v>100</v>
      </c>
      <c r="O30" s="7" t="s">
        <v>101</v>
      </c>
      <c r="P30" s="8">
        <v>44361</v>
      </c>
      <c r="Q30" s="7" t="s">
        <v>31</v>
      </c>
      <c r="R30" s="7" t="s">
        <v>32</v>
      </c>
      <c r="S30" s="7" t="s">
        <v>33</v>
      </c>
      <c r="T30" s="7"/>
      <c r="U30" s="7" t="s">
        <v>34</v>
      </c>
      <c r="V30" s="9">
        <v>42000</v>
      </c>
      <c r="W30" s="9">
        <v>18110.400000000001</v>
      </c>
      <c r="X30" s="9">
        <v>16724.400000000001</v>
      </c>
      <c r="Y30" s="7">
        <v>0</v>
      </c>
      <c r="Z30" s="9">
        <v>7165.2</v>
      </c>
    </row>
    <row r="31" spans="1:26" ht="17.5" x14ac:dyDescent="0.35">
      <c r="A31" s="7" t="s">
        <v>27</v>
      </c>
      <c r="B31" s="7" t="s">
        <v>36</v>
      </c>
      <c r="C31" s="7" t="s">
        <v>45</v>
      </c>
      <c r="D31" s="7" t="s">
        <v>61</v>
      </c>
      <c r="E31" s="7" t="s">
        <v>37</v>
      </c>
      <c r="F31" s="7" t="s">
        <v>37</v>
      </c>
      <c r="G31" s="7">
        <v>2017</v>
      </c>
      <c r="H31" s="7" t="str">
        <f>CONCATENATE("14270156483")</f>
        <v>14270156483</v>
      </c>
      <c r="I31" s="7" t="s">
        <v>29</v>
      </c>
      <c r="J31" s="7" t="s">
        <v>30</v>
      </c>
      <c r="K31" s="7" t="str">
        <f>CONCATENATE("")</f>
        <v/>
      </c>
      <c r="L31" s="7" t="str">
        <f>CONCATENATE("4 4.1 2a")</f>
        <v>4 4.1 2a</v>
      </c>
      <c r="M31" s="7" t="str">
        <f>CONCATENATE("00902180421")</f>
        <v>00902180421</v>
      </c>
      <c r="N31" s="7" t="s">
        <v>102</v>
      </c>
      <c r="O31" s="7" t="s">
        <v>103</v>
      </c>
      <c r="P31" s="8">
        <v>44354</v>
      </c>
      <c r="Q31" s="7" t="s">
        <v>31</v>
      </c>
      <c r="R31" s="7" t="s">
        <v>32</v>
      </c>
      <c r="S31" s="7" t="s">
        <v>33</v>
      </c>
      <c r="T31" s="7"/>
      <c r="U31" s="7" t="s">
        <v>34</v>
      </c>
      <c r="V31" s="9">
        <v>131539.44</v>
      </c>
      <c r="W31" s="9">
        <v>56719.81</v>
      </c>
      <c r="X31" s="9">
        <v>52379.01</v>
      </c>
      <c r="Y31" s="7">
        <v>0</v>
      </c>
      <c r="Z31" s="9">
        <v>22440.62</v>
      </c>
    </row>
    <row r="32" spans="1:26" x14ac:dyDescent="0.35">
      <c r="A32" s="7" t="s">
        <v>27</v>
      </c>
      <c r="B32" s="7" t="s">
        <v>36</v>
      </c>
      <c r="C32" s="7" t="s">
        <v>45</v>
      </c>
      <c r="D32" s="7" t="s">
        <v>45</v>
      </c>
      <c r="E32" s="7" t="s">
        <v>37</v>
      </c>
      <c r="F32" s="7" t="s">
        <v>37</v>
      </c>
      <c r="G32" s="7">
        <v>2017</v>
      </c>
      <c r="H32" s="7" t="str">
        <f>CONCATENATE("04270233416")</f>
        <v>04270233416</v>
      </c>
      <c r="I32" s="7" t="s">
        <v>29</v>
      </c>
      <c r="J32" s="7" t="s">
        <v>30</v>
      </c>
      <c r="K32" s="7" t="str">
        <f>CONCATENATE("")</f>
        <v/>
      </c>
      <c r="L32" s="7" t="str">
        <f>CONCATENATE("19 19.2 6b")</f>
        <v>19 19.2 6b</v>
      </c>
      <c r="M32" s="7" t="str">
        <f>CONCATENATE("81000890442")</f>
        <v>81000890442</v>
      </c>
      <c r="N32" s="7" t="s">
        <v>104</v>
      </c>
      <c r="O32" s="7" t="s">
        <v>105</v>
      </c>
      <c r="P32" s="8">
        <v>44361</v>
      </c>
      <c r="Q32" s="7" t="s">
        <v>31</v>
      </c>
      <c r="R32" s="7" t="s">
        <v>32</v>
      </c>
      <c r="S32" s="7" t="s">
        <v>33</v>
      </c>
      <c r="T32" s="7"/>
      <c r="U32" s="7" t="s">
        <v>34</v>
      </c>
      <c r="V32" s="9">
        <v>54623.99</v>
      </c>
      <c r="W32" s="9">
        <v>23553.86</v>
      </c>
      <c r="X32" s="9">
        <v>21751.27</v>
      </c>
      <c r="Y32" s="7">
        <v>0</v>
      </c>
      <c r="Z32" s="9">
        <v>9318.86</v>
      </c>
    </row>
    <row r="33" spans="1:26" x14ac:dyDescent="0.35">
      <c r="A33" s="7" t="s">
        <v>27</v>
      </c>
      <c r="B33" s="7" t="s">
        <v>36</v>
      </c>
      <c r="C33" s="7" t="s">
        <v>45</v>
      </c>
      <c r="D33" s="7" t="s">
        <v>45</v>
      </c>
      <c r="E33" s="7" t="s">
        <v>37</v>
      </c>
      <c r="F33" s="7" t="s">
        <v>37</v>
      </c>
      <c r="G33" s="7">
        <v>2017</v>
      </c>
      <c r="H33" s="7" t="str">
        <f>CONCATENATE("04270233424")</f>
        <v>04270233424</v>
      </c>
      <c r="I33" s="7" t="s">
        <v>29</v>
      </c>
      <c r="J33" s="7" t="s">
        <v>30</v>
      </c>
      <c r="K33" s="7" t="str">
        <f>CONCATENATE("")</f>
        <v/>
      </c>
      <c r="L33" s="7" t="str">
        <f>CONCATENATE("19 19.2 6b")</f>
        <v>19 19.2 6b</v>
      </c>
      <c r="M33" s="7" t="str">
        <f>CONCATENATE("00334340445")</f>
        <v>00334340445</v>
      </c>
      <c r="N33" s="7" t="s">
        <v>106</v>
      </c>
      <c r="O33" s="7" t="s">
        <v>105</v>
      </c>
      <c r="P33" s="8">
        <v>44361</v>
      </c>
      <c r="Q33" s="7" t="s">
        <v>31</v>
      </c>
      <c r="R33" s="7" t="s">
        <v>32</v>
      </c>
      <c r="S33" s="7" t="s">
        <v>33</v>
      </c>
      <c r="T33" s="7"/>
      <c r="U33" s="7" t="s">
        <v>34</v>
      </c>
      <c r="V33" s="9">
        <v>56287.65</v>
      </c>
      <c r="W33" s="9">
        <v>24271.23</v>
      </c>
      <c r="X33" s="9">
        <v>22413.74</v>
      </c>
      <c r="Y33" s="7">
        <v>0</v>
      </c>
      <c r="Z33" s="9">
        <v>9602.68</v>
      </c>
    </row>
    <row r="34" spans="1:26" x14ac:dyDescent="0.35">
      <c r="A34" s="7" t="s">
        <v>27</v>
      </c>
      <c r="B34" s="7" t="s">
        <v>36</v>
      </c>
      <c r="C34" s="7" t="s">
        <v>45</v>
      </c>
      <c r="D34" s="7" t="s">
        <v>45</v>
      </c>
      <c r="E34" s="7" t="s">
        <v>37</v>
      </c>
      <c r="F34" s="7" t="s">
        <v>37</v>
      </c>
      <c r="G34" s="7">
        <v>2017</v>
      </c>
      <c r="H34" s="7" t="str">
        <f>CONCATENATE("04270233366")</f>
        <v>04270233366</v>
      </c>
      <c r="I34" s="7" t="s">
        <v>29</v>
      </c>
      <c r="J34" s="7" t="s">
        <v>30</v>
      </c>
      <c r="K34" s="7" t="str">
        <f>CONCATENATE("")</f>
        <v/>
      </c>
      <c r="L34" s="7" t="str">
        <f>CONCATENATE("19 19.2 6b")</f>
        <v>19 19.2 6b</v>
      </c>
      <c r="M34" s="7" t="str">
        <f>CONCATENATE("00380940445")</f>
        <v>00380940445</v>
      </c>
      <c r="N34" s="7" t="s">
        <v>107</v>
      </c>
      <c r="O34" s="7" t="s">
        <v>105</v>
      </c>
      <c r="P34" s="8">
        <v>44361</v>
      </c>
      <c r="Q34" s="7" t="s">
        <v>31</v>
      </c>
      <c r="R34" s="7" t="s">
        <v>32</v>
      </c>
      <c r="S34" s="7" t="s">
        <v>33</v>
      </c>
      <c r="T34" s="7"/>
      <c r="U34" s="7" t="s">
        <v>34</v>
      </c>
      <c r="V34" s="9">
        <v>55476.79</v>
      </c>
      <c r="W34" s="9">
        <v>23921.59</v>
      </c>
      <c r="X34" s="9">
        <v>22090.86</v>
      </c>
      <c r="Y34" s="7">
        <v>0</v>
      </c>
      <c r="Z34" s="9">
        <v>9464.34</v>
      </c>
    </row>
    <row r="35" spans="1:26" x14ac:dyDescent="0.35">
      <c r="A35" s="7" t="s">
        <v>27</v>
      </c>
      <c r="B35" s="7" t="s">
        <v>36</v>
      </c>
      <c r="C35" s="7" t="s">
        <v>45</v>
      </c>
      <c r="D35" s="7" t="s">
        <v>45</v>
      </c>
      <c r="E35" s="7" t="s">
        <v>37</v>
      </c>
      <c r="F35" s="7" t="s">
        <v>37</v>
      </c>
      <c r="G35" s="7">
        <v>2017</v>
      </c>
      <c r="H35" s="7" t="str">
        <f>CONCATENATE("14270165369")</f>
        <v>14270165369</v>
      </c>
      <c r="I35" s="7" t="s">
        <v>29</v>
      </c>
      <c r="J35" s="7" t="s">
        <v>30</v>
      </c>
      <c r="K35" s="7" t="str">
        <f>CONCATENATE("")</f>
        <v/>
      </c>
      <c r="L35" s="7" t="str">
        <f>CONCATENATE("19 19.2 6b")</f>
        <v>19 19.2 6b</v>
      </c>
      <c r="M35" s="7" t="str">
        <f>CONCATENATE("81001970441")</f>
        <v>81001970441</v>
      </c>
      <c r="N35" s="7" t="s">
        <v>108</v>
      </c>
      <c r="O35" s="7" t="s">
        <v>105</v>
      </c>
      <c r="P35" s="8">
        <v>44361</v>
      </c>
      <c r="Q35" s="7" t="s">
        <v>31</v>
      </c>
      <c r="R35" s="7" t="s">
        <v>32</v>
      </c>
      <c r="S35" s="7" t="s">
        <v>33</v>
      </c>
      <c r="T35" s="7"/>
      <c r="U35" s="7" t="s">
        <v>34</v>
      </c>
      <c r="V35" s="9">
        <v>38335.15</v>
      </c>
      <c r="W35" s="9">
        <v>16530.12</v>
      </c>
      <c r="X35" s="9">
        <v>15265.06</v>
      </c>
      <c r="Y35" s="7">
        <v>0</v>
      </c>
      <c r="Z35" s="9">
        <v>6539.97</v>
      </c>
    </row>
    <row r="36" spans="1:26" x14ac:dyDescent="0.35">
      <c r="A36" s="7" t="s">
        <v>27</v>
      </c>
      <c r="B36" s="7" t="s">
        <v>36</v>
      </c>
      <c r="C36" s="7" t="s">
        <v>45</v>
      </c>
      <c r="D36" s="7" t="s">
        <v>45</v>
      </c>
      <c r="E36" s="7" t="s">
        <v>37</v>
      </c>
      <c r="F36" s="7" t="s">
        <v>37</v>
      </c>
      <c r="G36" s="7">
        <v>2017</v>
      </c>
      <c r="H36" s="7" t="str">
        <f>CONCATENATE("04270233432")</f>
        <v>04270233432</v>
      </c>
      <c r="I36" s="7" t="s">
        <v>29</v>
      </c>
      <c r="J36" s="7" t="s">
        <v>30</v>
      </c>
      <c r="K36" s="7" t="str">
        <f>CONCATENATE("")</f>
        <v/>
      </c>
      <c r="L36" s="7" t="str">
        <f>CONCATENATE("19 19.2 6b")</f>
        <v>19 19.2 6b</v>
      </c>
      <c r="M36" s="7" t="str">
        <f>CONCATENATE("81000850446")</f>
        <v>81000850446</v>
      </c>
      <c r="N36" s="7" t="s">
        <v>109</v>
      </c>
      <c r="O36" s="7" t="s">
        <v>105</v>
      </c>
      <c r="P36" s="8">
        <v>44361</v>
      </c>
      <c r="Q36" s="7" t="s">
        <v>31</v>
      </c>
      <c r="R36" s="7" t="s">
        <v>32</v>
      </c>
      <c r="S36" s="7" t="s">
        <v>33</v>
      </c>
      <c r="T36" s="7"/>
      <c r="U36" s="7" t="s">
        <v>34</v>
      </c>
      <c r="V36" s="9">
        <v>48257.02</v>
      </c>
      <c r="W36" s="9">
        <v>20808.43</v>
      </c>
      <c r="X36" s="9">
        <v>19215.95</v>
      </c>
      <c r="Y36" s="7">
        <v>0</v>
      </c>
      <c r="Z36" s="9">
        <v>8232.64</v>
      </c>
    </row>
    <row r="37" spans="1:26" x14ac:dyDescent="0.35">
      <c r="A37" s="7" t="s">
        <v>27</v>
      </c>
      <c r="B37" s="7" t="s">
        <v>36</v>
      </c>
      <c r="C37" s="7" t="s">
        <v>45</v>
      </c>
      <c r="D37" s="7" t="s">
        <v>45</v>
      </c>
      <c r="E37" s="7" t="s">
        <v>37</v>
      </c>
      <c r="F37" s="7" t="s">
        <v>37</v>
      </c>
      <c r="G37" s="7">
        <v>2017</v>
      </c>
      <c r="H37" s="7" t="str">
        <f>CONCATENATE("04270233390")</f>
        <v>04270233390</v>
      </c>
      <c r="I37" s="7" t="s">
        <v>29</v>
      </c>
      <c r="J37" s="7" t="s">
        <v>30</v>
      </c>
      <c r="K37" s="7" t="str">
        <f>CONCATENATE("")</f>
        <v/>
      </c>
      <c r="L37" s="7" t="str">
        <f>CONCATENATE("19 19.2 6b")</f>
        <v>19 19.2 6b</v>
      </c>
      <c r="M37" s="7" t="str">
        <f>CONCATENATE("81000670448")</f>
        <v>81000670448</v>
      </c>
      <c r="N37" s="7" t="s">
        <v>110</v>
      </c>
      <c r="O37" s="7" t="s">
        <v>105</v>
      </c>
      <c r="P37" s="8">
        <v>44361</v>
      </c>
      <c r="Q37" s="7" t="s">
        <v>31</v>
      </c>
      <c r="R37" s="7" t="s">
        <v>32</v>
      </c>
      <c r="S37" s="7" t="s">
        <v>33</v>
      </c>
      <c r="T37" s="7"/>
      <c r="U37" s="7" t="s">
        <v>34</v>
      </c>
      <c r="V37" s="9">
        <v>28735.71</v>
      </c>
      <c r="W37" s="9">
        <v>12390.84</v>
      </c>
      <c r="X37" s="9">
        <v>11442.56</v>
      </c>
      <c r="Y37" s="7">
        <v>0</v>
      </c>
      <c r="Z37" s="9">
        <v>4902.3100000000004</v>
      </c>
    </row>
    <row r="38" spans="1:26" x14ac:dyDescent="0.35">
      <c r="A38" s="7" t="s">
        <v>27</v>
      </c>
      <c r="B38" s="7" t="s">
        <v>36</v>
      </c>
      <c r="C38" s="7" t="s">
        <v>45</v>
      </c>
      <c r="D38" s="7" t="s">
        <v>45</v>
      </c>
      <c r="E38" s="7" t="s">
        <v>37</v>
      </c>
      <c r="F38" s="7" t="s">
        <v>37</v>
      </c>
      <c r="G38" s="7">
        <v>2017</v>
      </c>
      <c r="H38" s="7" t="str">
        <f>CONCATENATE("04270233440")</f>
        <v>04270233440</v>
      </c>
      <c r="I38" s="7" t="s">
        <v>29</v>
      </c>
      <c r="J38" s="7" t="s">
        <v>30</v>
      </c>
      <c r="K38" s="7" t="str">
        <f>CONCATENATE("")</f>
        <v/>
      </c>
      <c r="L38" s="7" t="str">
        <f>CONCATENATE("19 19.2 6b")</f>
        <v>19 19.2 6b</v>
      </c>
      <c r="M38" s="7" t="str">
        <f>CONCATENATE("00356970442")</f>
        <v>00356970442</v>
      </c>
      <c r="N38" s="7" t="s">
        <v>111</v>
      </c>
      <c r="O38" s="7" t="s">
        <v>105</v>
      </c>
      <c r="P38" s="8">
        <v>44361</v>
      </c>
      <c r="Q38" s="7" t="s">
        <v>31</v>
      </c>
      <c r="R38" s="7" t="s">
        <v>32</v>
      </c>
      <c r="S38" s="7" t="s">
        <v>33</v>
      </c>
      <c r="T38" s="7"/>
      <c r="U38" s="7" t="s">
        <v>34</v>
      </c>
      <c r="V38" s="9">
        <v>48572.6</v>
      </c>
      <c r="W38" s="9">
        <v>20944.509999999998</v>
      </c>
      <c r="X38" s="9">
        <v>19341.61</v>
      </c>
      <c r="Y38" s="7">
        <v>0</v>
      </c>
      <c r="Z38" s="9">
        <v>8286.48</v>
      </c>
    </row>
    <row r="39" spans="1:26" x14ac:dyDescent="0.35">
      <c r="A39" s="7" t="s">
        <v>27</v>
      </c>
      <c r="B39" s="7" t="s">
        <v>36</v>
      </c>
      <c r="C39" s="7" t="s">
        <v>45</v>
      </c>
      <c r="D39" s="7" t="s">
        <v>45</v>
      </c>
      <c r="E39" s="7" t="s">
        <v>37</v>
      </c>
      <c r="F39" s="7" t="s">
        <v>37</v>
      </c>
      <c r="G39" s="7">
        <v>2017</v>
      </c>
      <c r="H39" s="7" t="str">
        <f>CONCATENATE("04270233358")</f>
        <v>04270233358</v>
      </c>
      <c r="I39" s="7" t="s">
        <v>29</v>
      </c>
      <c r="J39" s="7" t="s">
        <v>30</v>
      </c>
      <c r="K39" s="7" t="str">
        <f>CONCATENATE("")</f>
        <v/>
      </c>
      <c r="L39" s="7" t="str">
        <f>CONCATENATE("19 19.2 6b")</f>
        <v>19 19.2 6b</v>
      </c>
      <c r="M39" s="7" t="str">
        <f>CONCATENATE("00385810445")</f>
        <v>00385810445</v>
      </c>
      <c r="N39" s="7" t="s">
        <v>112</v>
      </c>
      <c r="O39" s="7" t="s">
        <v>105</v>
      </c>
      <c r="P39" s="8">
        <v>44361</v>
      </c>
      <c r="Q39" s="7" t="s">
        <v>31</v>
      </c>
      <c r="R39" s="7" t="s">
        <v>32</v>
      </c>
      <c r="S39" s="7" t="s">
        <v>33</v>
      </c>
      <c r="T39" s="7"/>
      <c r="U39" s="7" t="s">
        <v>34</v>
      </c>
      <c r="V39" s="9">
        <v>56728.160000000003</v>
      </c>
      <c r="W39" s="9">
        <v>24461.18</v>
      </c>
      <c r="X39" s="9">
        <v>22589.15</v>
      </c>
      <c r="Y39" s="7">
        <v>0</v>
      </c>
      <c r="Z39" s="9">
        <v>9677.83</v>
      </c>
    </row>
    <row r="40" spans="1:26" x14ac:dyDescent="0.35">
      <c r="A40" s="7" t="s">
        <v>27</v>
      </c>
      <c r="B40" s="7" t="s">
        <v>36</v>
      </c>
      <c r="C40" s="7" t="s">
        <v>45</v>
      </c>
      <c r="D40" s="7" t="s">
        <v>45</v>
      </c>
      <c r="E40" s="7" t="s">
        <v>37</v>
      </c>
      <c r="F40" s="7" t="s">
        <v>37</v>
      </c>
      <c r="G40" s="7">
        <v>2017</v>
      </c>
      <c r="H40" s="7" t="str">
        <f>CONCATENATE("04270233374")</f>
        <v>04270233374</v>
      </c>
      <c r="I40" s="7" t="s">
        <v>29</v>
      </c>
      <c r="J40" s="7" t="s">
        <v>30</v>
      </c>
      <c r="K40" s="7" t="str">
        <f>CONCATENATE("")</f>
        <v/>
      </c>
      <c r="L40" s="7" t="str">
        <f>CONCATENATE("19 19.2 6b")</f>
        <v>19 19.2 6b</v>
      </c>
      <c r="M40" s="7" t="str">
        <f>CONCATENATE("81001890441")</f>
        <v>81001890441</v>
      </c>
      <c r="N40" s="7" t="s">
        <v>113</v>
      </c>
      <c r="O40" s="7" t="s">
        <v>105</v>
      </c>
      <c r="P40" s="8">
        <v>44361</v>
      </c>
      <c r="Q40" s="7" t="s">
        <v>31</v>
      </c>
      <c r="R40" s="7" t="s">
        <v>32</v>
      </c>
      <c r="S40" s="7" t="s">
        <v>33</v>
      </c>
      <c r="T40" s="7"/>
      <c r="U40" s="7" t="s">
        <v>34</v>
      </c>
      <c r="V40" s="9">
        <v>48956.56</v>
      </c>
      <c r="W40" s="9">
        <v>21110.07</v>
      </c>
      <c r="X40" s="9">
        <v>19494.5</v>
      </c>
      <c r="Y40" s="7">
        <v>0</v>
      </c>
      <c r="Z40" s="9">
        <v>8351.99</v>
      </c>
    </row>
    <row r="41" spans="1:26" x14ac:dyDescent="0.35">
      <c r="A41" s="7" t="s">
        <v>27</v>
      </c>
      <c r="B41" s="7" t="s">
        <v>36</v>
      </c>
      <c r="C41" s="7" t="s">
        <v>45</v>
      </c>
      <c r="D41" s="7" t="s">
        <v>45</v>
      </c>
      <c r="E41" s="7" t="s">
        <v>37</v>
      </c>
      <c r="F41" s="7" t="s">
        <v>37</v>
      </c>
      <c r="G41" s="7">
        <v>2017</v>
      </c>
      <c r="H41" s="7" t="str">
        <f>CONCATENATE("14270165377")</f>
        <v>14270165377</v>
      </c>
      <c r="I41" s="7" t="s">
        <v>29</v>
      </c>
      <c r="J41" s="7" t="s">
        <v>30</v>
      </c>
      <c r="K41" s="7" t="str">
        <f>CONCATENATE("")</f>
        <v/>
      </c>
      <c r="L41" s="7" t="str">
        <f>CONCATENATE("19 19.2 6b")</f>
        <v>19 19.2 6b</v>
      </c>
      <c r="M41" s="7" t="str">
        <f>CONCATENATE("00358210441")</f>
        <v>00358210441</v>
      </c>
      <c r="N41" s="7" t="s">
        <v>114</v>
      </c>
      <c r="O41" s="7" t="s">
        <v>105</v>
      </c>
      <c r="P41" s="8">
        <v>44361</v>
      </c>
      <c r="Q41" s="7" t="s">
        <v>31</v>
      </c>
      <c r="R41" s="7" t="s">
        <v>32</v>
      </c>
      <c r="S41" s="7" t="s">
        <v>33</v>
      </c>
      <c r="T41" s="7"/>
      <c r="U41" s="7" t="s">
        <v>34</v>
      </c>
      <c r="V41" s="9">
        <v>53794.81</v>
      </c>
      <c r="W41" s="9">
        <v>23196.32</v>
      </c>
      <c r="X41" s="9">
        <v>21421.09</v>
      </c>
      <c r="Y41" s="7">
        <v>0</v>
      </c>
      <c r="Z41" s="9">
        <v>9177.4</v>
      </c>
    </row>
    <row r="42" spans="1:26" x14ac:dyDescent="0.35">
      <c r="A42" s="7" t="s">
        <v>27</v>
      </c>
      <c r="B42" s="7" t="s">
        <v>28</v>
      </c>
      <c r="C42" s="7" t="s">
        <v>45</v>
      </c>
      <c r="D42" s="7" t="s">
        <v>61</v>
      </c>
      <c r="E42" s="7" t="s">
        <v>35</v>
      </c>
      <c r="F42" s="7" t="s">
        <v>69</v>
      </c>
      <c r="G42" s="7">
        <v>2020</v>
      </c>
      <c r="H42" s="7" t="str">
        <f>CONCATENATE("04210022218")</f>
        <v>04210022218</v>
      </c>
      <c r="I42" s="7" t="s">
        <v>29</v>
      </c>
      <c r="J42" s="7" t="s">
        <v>30</v>
      </c>
      <c r="K42" s="7" t="str">
        <f>CONCATENATE("")</f>
        <v/>
      </c>
      <c r="L42" s="7" t="str">
        <f>CONCATENATE("13 13.1 4a")</f>
        <v>13 13.1 4a</v>
      </c>
      <c r="M42" s="7" t="str">
        <f>CONCATENATE("BRTMSM60D06B474A")</f>
        <v>BRTMSM60D06B474A</v>
      </c>
      <c r="N42" s="7" t="s">
        <v>115</v>
      </c>
      <c r="O42" s="7" t="s">
        <v>116</v>
      </c>
      <c r="P42" s="8">
        <v>44361</v>
      </c>
      <c r="Q42" s="7" t="s">
        <v>31</v>
      </c>
      <c r="R42" s="7" t="s">
        <v>32</v>
      </c>
      <c r="S42" s="7" t="s">
        <v>33</v>
      </c>
      <c r="T42" s="7"/>
      <c r="U42" s="7" t="s">
        <v>34</v>
      </c>
      <c r="V42" s="9">
        <v>1790.58</v>
      </c>
      <c r="W42" s="7">
        <v>772.1</v>
      </c>
      <c r="X42" s="7">
        <v>713.01</v>
      </c>
      <c r="Y42" s="7">
        <v>0</v>
      </c>
      <c r="Z42" s="7">
        <v>305.47000000000003</v>
      </c>
    </row>
    <row r="43" spans="1:26" x14ac:dyDescent="0.35">
      <c r="A43" s="7" t="s">
        <v>27</v>
      </c>
      <c r="B43" s="7" t="s">
        <v>28</v>
      </c>
      <c r="C43" s="7" t="s">
        <v>45</v>
      </c>
      <c r="D43" s="7" t="s">
        <v>46</v>
      </c>
      <c r="E43" s="7" t="s">
        <v>39</v>
      </c>
      <c r="F43" s="7" t="s">
        <v>117</v>
      </c>
      <c r="G43" s="7">
        <v>2020</v>
      </c>
      <c r="H43" s="7" t="str">
        <f>CONCATENATE("04210900074")</f>
        <v>04210900074</v>
      </c>
      <c r="I43" s="7" t="s">
        <v>29</v>
      </c>
      <c r="J43" s="7" t="s">
        <v>30</v>
      </c>
      <c r="K43" s="7" t="str">
        <f>CONCATENATE("")</f>
        <v/>
      </c>
      <c r="L43" s="7" t="str">
        <f>CONCATENATE("13 13.1 4a")</f>
        <v>13 13.1 4a</v>
      </c>
      <c r="M43" s="7" t="str">
        <f>CONCATENATE("GSTSDR65H17A271A")</f>
        <v>GSTSDR65H17A271A</v>
      </c>
      <c r="N43" s="7" t="s">
        <v>118</v>
      </c>
      <c r="O43" s="7" t="s">
        <v>116</v>
      </c>
      <c r="P43" s="8">
        <v>44361</v>
      </c>
      <c r="Q43" s="7" t="s">
        <v>31</v>
      </c>
      <c r="R43" s="7" t="s">
        <v>32</v>
      </c>
      <c r="S43" s="7" t="s">
        <v>33</v>
      </c>
      <c r="T43" s="7"/>
      <c r="U43" s="7" t="s">
        <v>34</v>
      </c>
      <c r="V43" s="7">
        <v>987.24</v>
      </c>
      <c r="W43" s="7">
        <v>425.7</v>
      </c>
      <c r="X43" s="7">
        <v>393.12</v>
      </c>
      <c r="Y43" s="7">
        <v>0</v>
      </c>
      <c r="Z43" s="7">
        <v>168.42</v>
      </c>
    </row>
    <row r="44" spans="1:26" x14ac:dyDescent="0.35">
      <c r="A44" s="7" t="s">
        <v>27</v>
      </c>
      <c r="B44" s="7" t="s">
        <v>28</v>
      </c>
      <c r="C44" s="7" t="s">
        <v>45</v>
      </c>
      <c r="D44" s="7" t="s">
        <v>46</v>
      </c>
      <c r="E44" s="7" t="s">
        <v>35</v>
      </c>
      <c r="F44" s="7" t="s">
        <v>47</v>
      </c>
      <c r="G44" s="7">
        <v>2016</v>
      </c>
      <c r="H44" s="7" t="str">
        <f>CONCATENATE("64210984379")</f>
        <v>64210984379</v>
      </c>
      <c r="I44" s="7" t="s">
        <v>29</v>
      </c>
      <c r="J44" s="7" t="s">
        <v>30</v>
      </c>
      <c r="K44" s="7" t="str">
        <f>CONCATENATE("")</f>
        <v/>
      </c>
      <c r="L44" s="7" t="str">
        <f>CONCATENATE("13 13.1 4a")</f>
        <v>13 13.1 4a</v>
      </c>
      <c r="M44" s="7" t="str">
        <f>CONCATENATE("VTLCRL26C29D628C")</f>
        <v>VTLCRL26C29D628C</v>
      </c>
      <c r="N44" s="7" t="s">
        <v>119</v>
      </c>
      <c r="O44" s="7" t="s">
        <v>116</v>
      </c>
      <c r="P44" s="8">
        <v>44361</v>
      </c>
      <c r="Q44" s="7" t="s">
        <v>31</v>
      </c>
      <c r="R44" s="7" t="s">
        <v>32</v>
      </c>
      <c r="S44" s="7" t="s">
        <v>33</v>
      </c>
      <c r="T44" s="7"/>
      <c r="U44" s="7" t="s">
        <v>34</v>
      </c>
      <c r="V44" s="9">
        <v>3065.61</v>
      </c>
      <c r="W44" s="9">
        <v>1321.89</v>
      </c>
      <c r="X44" s="9">
        <v>1220.73</v>
      </c>
      <c r="Y44" s="7">
        <v>0</v>
      </c>
      <c r="Z44" s="7">
        <v>522.99</v>
      </c>
    </row>
    <row r="45" spans="1:26" x14ac:dyDescent="0.35">
      <c r="A45" s="7" t="s">
        <v>27</v>
      </c>
      <c r="B45" s="7" t="s">
        <v>28</v>
      </c>
      <c r="C45" s="7" t="s">
        <v>45</v>
      </c>
      <c r="D45" s="7" t="s">
        <v>61</v>
      </c>
      <c r="E45" s="7" t="s">
        <v>35</v>
      </c>
      <c r="F45" s="7" t="s">
        <v>69</v>
      </c>
      <c r="G45" s="7">
        <v>2020</v>
      </c>
      <c r="H45" s="7" t="str">
        <f>CONCATENATE("04210041309")</f>
        <v>04210041309</v>
      </c>
      <c r="I45" s="7" t="s">
        <v>29</v>
      </c>
      <c r="J45" s="7" t="s">
        <v>30</v>
      </c>
      <c r="K45" s="7" t="str">
        <f>CONCATENATE("")</f>
        <v/>
      </c>
      <c r="L45" s="7" t="str">
        <f>CONCATENATE("13 13.1 4a")</f>
        <v>13 13.1 4a</v>
      </c>
      <c r="M45" s="7" t="str">
        <f>CONCATENATE("GRLMNL64E47D628L")</f>
        <v>GRLMNL64E47D628L</v>
      </c>
      <c r="N45" s="7" t="s">
        <v>120</v>
      </c>
      <c r="O45" s="7" t="s">
        <v>116</v>
      </c>
      <c r="P45" s="8">
        <v>44361</v>
      </c>
      <c r="Q45" s="7" t="s">
        <v>31</v>
      </c>
      <c r="R45" s="7" t="s">
        <v>32</v>
      </c>
      <c r="S45" s="7" t="s">
        <v>33</v>
      </c>
      <c r="T45" s="7"/>
      <c r="U45" s="7" t="s">
        <v>34</v>
      </c>
      <c r="V45" s="9">
        <v>1131.6600000000001</v>
      </c>
      <c r="W45" s="7">
        <v>487.97</v>
      </c>
      <c r="X45" s="7">
        <v>450.63</v>
      </c>
      <c r="Y45" s="7">
        <v>0</v>
      </c>
      <c r="Z45" s="7">
        <v>193.06</v>
      </c>
    </row>
    <row r="46" spans="1:26" x14ac:dyDescent="0.35">
      <c r="A46" s="7" t="s">
        <v>27</v>
      </c>
      <c r="B46" s="7" t="s">
        <v>28</v>
      </c>
      <c r="C46" s="7" t="s">
        <v>45</v>
      </c>
      <c r="D46" s="7" t="s">
        <v>61</v>
      </c>
      <c r="E46" s="7" t="s">
        <v>42</v>
      </c>
      <c r="F46" s="7" t="s">
        <v>121</v>
      </c>
      <c r="G46" s="7">
        <v>2020</v>
      </c>
      <c r="H46" s="7" t="str">
        <f>CONCATENATE("04210382737")</f>
        <v>04210382737</v>
      </c>
      <c r="I46" s="7" t="s">
        <v>29</v>
      </c>
      <c r="J46" s="7" t="s">
        <v>30</v>
      </c>
      <c r="K46" s="7" t="str">
        <f>CONCATENATE("")</f>
        <v/>
      </c>
      <c r="L46" s="7" t="str">
        <f>CONCATENATE("13 13.1 4a")</f>
        <v>13 13.1 4a</v>
      </c>
      <c r="M46" s="7" t="str">
        <f>CONCATENATE("NSVGPP55C04B474A")</f>
        <v>NSVGPP55C04B474A</v>
      </c>
      <c r="N46" s="7" t="s">
        <v>122</v>
      </c>
      <c r="O46" s="7" t="s">
        <v>116</v>
      </c>
      <c r="P46" s="8">
        <v>44361</v>
      </c>
      <c r="Q46" s="7" t="s">
        <v>31</v>
      </c>
      <c r="R46" s="7" t="s">
        <v>32</v>
      </c>
      <c r="S46" s="7" t="s">
        <v>33</v>
      </c>
      <c r="T46" s="7"/>
      <c r="U46" s="7" t="s">
        <v>34</v>
      </c>
      <c r="V46" s="9">
        <v>2033.04</v>
      </c>
      <c r="W46" s="7">
        <v>876.65</v>
      </c>
      <c r="X46" s="7">
        <v>809.56</v>
      </c>
      <c r="Y46" s="7">
        <v>0</v>
      </c>
      <c r="Z46" s="7">
        <v>346.83</v>
      </c>
    </row>
    <row r="47" spans="1:26" x14ac:dyDescent="0.35">
      <c r="A47" s="7" t="s">
        <v>27</v>
      </c>
      <c r="B47" s="7" t="s">
        <v>28</v>
      </c>
      <c r="C47" s="7" t="s">
        <v>45</v>
      </c>
      <c r="D47" s="7" t="s">
        <v>57</v>
      </c>
      <c r="E47" s="7" t="s">
        <v>38</v>
      </c>
      <c r="F47" s="7" t="s">
        <v>123</v>
      </c>
      <c r="G47" s="7">
        <v>2020</v>
      </c>
      <c r="H47" s="7" t="str">
        <f>CONCATENATE("04210594380")</f>
        <v>04210594380</v>
      </c>
      <c r="I47" s="7" t="s">
        <v>29</v>
      </c>
      <c r="J47" s="7" t="s">
        <v>30</v>
      </c>
      <c r="K47" s="7" t="str">
        <f>CONCATENATE("")</f>
        <v/>
      </c>
      <c r="L47" s="7" t="str">
        <f>CONCATENATE("13 13.1 4a")</f>
        <v>13 13.1 4a</v>
      </c>
      <c r="M47" s="7" t="str">
        <f>CONCATENATE("MGNTZN60B12I459H")</f>
        <v>MGNTZN60B12I459H</v>
      </c>
      <c r="N47" s="7" t="s">
        <v>124</v>
      </c>
      <c r="O47" s="7" t="s">
        <v>116</v>
      </c>
      <c r="P47" s="8">
        <v>44361</v>
      </c>
      <c r="Q47" s="7" t="s">
        <v>31</v>
      </c>
      <c r="R47" s="7" t="s">
        <v>32</v>
      </c>
      <c r="S47" s="7" t="s">
        <v>33</v>
      </c>
      <c r="T47" s="7"/>
      <c r="U47" s="7" t="s">
        <v>34</v>
      </c>
      <c r="V47" s="9">
        <v>6727</v>
      </c>
      <c r="W47" s="9">
        <v>2900.68</v>
      </c>
      <c r="X47" s="9">
        <v>2678.69</v>
      </c>
      <c r="Y47" s="7">
        <v>0</v>
      </c>
      <c r="Z47" s="9">
        <v>1147.6300000000001</v>
      </c>
    </row>
    <row r="48" spans="1:26" x14ac:dyDescent="0.35">
      <c r="A48" s="7" t="s">
        <v>27</v>
      </c>
      <c r="B48" s="7" t="s">
        <v>28</v>
      </c>
      <c r="C48" s="7" t="s">
        <v>45</v>
      </c>
      <c r="D48" s="7" t="s">
        <v>50</v>
      </c>
      <c r="E48" s="7" t="s">
        <v>35</v>
      </c>
      <c r="F48" s="7" t="s">
        <v>125</v>
      </c>
      <c r="G48" s="7">
        <v>2020</v>
      </c>
      <c r="H48" s="7" t="str">
        <f>CONCATENATE("04210893576")</f>
        <v>04210893576</v>
      </c>
      <c r="I48" s="7" t="s">
        <v>29</v>
      </c>
      <c r="J48" s="7" t="s">
        <v>30</v>
      </c>
      <c r="K48" s="7" t="str">
        <f>CONCATENATE("")</f>
        <v/>
      </c>
      <c r="L48" s="7" t="str">
        <f>CONCATENATE("13 13.1 4a")</f>
        <v>13 13.1 4a</v>
      </c>
      <c r="M48" s="7" t="str">
        <f>CONCATENATE("FDLRLD35H08H588J")</f>
        <v>FDLRLD35H08H588J</v>
      </c>
      <c r="N48" s="7" t="s">
        <v>126</v>
      </c>
      <c r="O48" s="7" t="s">
        <v>116</v>
      </c>
      <c r="P48" s="8">
        <v>44361</v>
      </c>
      <c r="Q48" s="7" t="s">
        <v>31</v>
      </c>
      <c r="R48" s="7" t="s">
        <v>32</v>
      </c>
      <c r="S48" s="7" t="s">
        <v>33</v>
      </c>
      <c r="T48" s="7"/>
      <c r="U48" s="7" t="s">
        <v>34</v>
      </c>
      <c r="V48" s="9">
        <v>1525.14</v>
      </c>
      <c r="W48" s="7">
        <v>657.64</v>
      </c>
      <c r="X48" s="7">
        <v>607.30999999999995</v>
      </c>
      <c r="Y48" s="7">
        <v>0</v>
      </c>
      <c r="Z48" s="7">
        <v>260.19</v>
      </c>
    </row>
    <row r="49" spans="1:26" x14ac:dyDescent="0.35">
      <c r="A49" s="7" t="s">
        <v>27</v>
      </c>
      <c r="B49" s="7" t="s">
        <v>28</v>
      </c>
      <c r="C49" s="7" t="s">
        <v>45</v>
      </c>
      <c r="D49" s="7" t="s">
        <v>46</v>
      </c>
      <c r="E49" s="7" t="s">
        <v>35</v>
      </c>
      <c r="F49" s="7" t="s">
        <v>127</v>
      </c>
      <c r="G49" s="7">
        <v>2020</v>
      </c>
      <c r="H49" s="7" t="str">
        <f>CONCATENATE("04210504397")</f>
        <v>04210504397</v>
      </c>
      <c r="I49" s="7" t="s">
        <v>40</v>
      </c>
      <c r="J49" s="7" t="s">
        <v>30</v>
      </c>
      <c r="K49" s="7" t="str">
        <f>CONCATENATE("")</f>
        <v/>
      </c>
      <c r="L49" s="7" t="str">
        <f>CONCATENATE("13 13.1 4a")</f>
        <v>13 13.1 4a</v>
      </c>
      <c r="M49" s="7" t="str">
        <f>CONCATENATE("RSTRRD83P04D451P")</f>
        <v>RSTRRD83P04D451P</v>
      </c>
      <c r="N49" s="7" t="s">
        <v>128</v>
      </c>
      <c r="O49" s="7" t="s">
        <v>116</v>
      </c>
      <c r="P49" s="8">
        <v>44361</v>
      </c>
      <c r="Q49" s="7" t="s">
        <v>31</v>
      </c>
      <c r="R49" s="7" t="s">
        <v>32</v>
      </c>
      <c r="S49" s="7" t="s">
        <v>33</v>
      </c>
      <c r="T49" s="7"/>
      <c r="U49" s="7" t="s">
        <v>34</v>
      </c>
      <c r="V49" s="7">
        <v>415.48</v>
      </c>
      <c r="W49" s="7">
        <v>179.15</v>
      </c>
      <c r="X49" s="7">
        <v>165.44</v>
      </c>
      <c r="Y49" s="7">
        <v>0</v>
      </c>
      <c r="Z49" s="7">
        <v>70.89</v>
      </c>
    </row>
    <row r="50" spans="1:26" x14ac:dyDescent="0.35">
      <c r="A50" s="7" t="s">
        <v>27</v>
      </c>
      <c r="B50" s="7" t="s">
        <v>28</v>
      </c>
      <c r="C50" s="7" t="s">
        <v>45</v>
      </c>
      <c r="D50" s="7" t="s">
        <v>46</v>
      </c>
      <c r="E50" s="7" t="s">
        <v>35</v>
      </c>
      <c r="F50" s="7" t="s">
        <v>47</v>
      </c>
      <c r="G50" s="7">
        <v>2020</v>
      </c>
      <c r="H50" s="7" t="str">
        <f>CONCATENATE("04210673770")</f>
        <v>04210673770</v>
      </c>
      <c r="I50" s="7" t="s">
        <v>29</v>
      </c>
      <c r="J50" s="7" t="s">
        <v>30</v>
      </c>
      <c r="K50" s="7" t="str">
        <f>CONCATENATE("")</f>
        <v/>
      </c>
      <c r="L50" s="7" t="str">
        <f>CONCATENATE("13 13.1 4a")</f>
        <v>13 13.1 4a</v>
      </c>
      <c r="M50" s="7" t="str">
        <f>CONCATENATE("PCRTTL84T19D451D")</f>
        <v>PCRTTL84T19D451D</v>
      </c>
      <c r="N50" s="7" t="s">
        <v>129</v>
      </c>
      <c r="O50" s="7" t="s">
        <v>116</v>
      </c>
      <c r="P50" s="8">
        <v>44361</v>
      </c>
      <c r="Q50" s="7" t="s">
        <v>31</v>
      </c>
      <c r="R50" s="7" t="s">
        <v>32</v>
      </c>
      <c r="S50" s="7" t="s">
        <v>33</v>
      </c>
      <c r="T50" s="7"/>
      <c r="U50" s="7" t="s">
        <v>34</v>
      </c>
      <c r="V50" s="9">
        <v>3015.88</v>
      </c>
      <c r="W50" s="9">
        <v>1300.45</v>
      </c>
      <c r="X50" s="9">
        <v>1200.92</v>
      </c>
      <c r="Y50" s="7">
        <v>0</v>
      </c>
      <c r="Z50" s="7">
        <v>514.51</v>
      </c>
    </row>
    <row r="51" spans="1:26" x14ac:dyDescent="0.35">
      <c r="A51" s="7" t="s">
        <v>27</v>
      </c>
      <c r="B51" s="7" t="s">
        <v>28</v>
      </c>
      <c r="C51" s="7" t="s">
        <v>45</v>
      </c>
      <c r="D51" s="7" t="s">
        <v>61</v>
      </c>
      <c r="E51" s="7" t="s">
        <v>35</v>
      </c>
      <c r="F51" s="7" t="s">
        <v>69</v>
      </c>
      <c r="G51" s="7">
        <v>2020</v>
      </c>
      <c r="H51" s="7" t="str">
        <f>CONCATENATE("04210331239")</f>
        <v>04210331239</v>
      </c>
      <c r="I51" s="7" t="s">
        <v>29</v>
      </c>
      <c r="J51" s="7" t="s">
        <v>30</v>
      </c>
      <c r="K51" s="7" t="str">
        <f>CONCATENATE("")</f>
        <v/>
      </c>
      <c r="L51" s="7" t="str">
        <f>CONCATENATE("13 13.1 4a")</f>
        <v>13 13.1 4a</v>
      </c>
      <c r="M51" s="7" t="str">
        <f>CONCATENATE("01710780436")</f>
        <v>01710780436</v>
      </c>
      <c r="N51" s="7" t="s">
        <v>130</v>
      </c>
      <c r="O51" s="7" t="s">
        <v>116</v>
      </c>
      <c r="P51" s="8">
        <v>44361</v>
      </c>
      <c r="Q51" s="7" t="s">
        <v>31</v>
      </c>
      <c r="R51" s="7" t="s">
        <v>32</v>
      </c>
      <c r="S51" s="7" t="s">
        <v>33</v>
      </c>
      <c r="T51" s="7"/>
      <c r="U51" s="7" t="s">
        <v>34</v>
      </c>
      <c r="V51" s="9">
        <v>3175.86</v>
      </c>
      <c r="W51" s="9">
        <v>1369.43</v>
      </c>
      <c r="X51" s="9">
        <v>1264.6300000000001</v>
      </c>
      <c r="Y51" s="7">
        <v>0</v>
      </c>
      <c r="Z51" s="7">
        <v>541.79999999999995</v>
      </c>
    </row>
    <row r="52" spans="1:26" x14ac:dyDescent="0.35">
      <c r="A52" s="7" t="s">
        <v>27</v>
      </c>
      <c r="B52" s="7" t="s">
        <v>36</v>
      </c>
      <c r="C52" s="7" t="s">
        <v>45</v>
      </c>
      <c r="D52" s="7" t="s">
        <v>45</v>
      </c>
      <c r="E52" s="7" t="s">
        <v>37</v>
      </c>
      <c r="F52" s="7" t="s">
        <v>37</v>
      </c>
      <c r="G52" s="7">
        <v>2017</v>
      </c>
      <c r="H52" s="7" t="str">
        <f>CONCATENATE("04270233408")</f>
        <v>04270233408</v>
      </c>
      <c r="I52" s="7" t="s">
        <v>29</v>
      </c>
      <c r="J52" s="7" t="s">
        <v>30</v>
      </c>
      <c r="K52" s="7" t="str">
        <f>CONCATENATE("")</f>
        <v/>
      </c>
      <c r="L52" s="7" t="str">
        <f>CONCATENATE("19 19.2 6b")</f>
        <v>19 19.2 6b</v>
      </c>
      <c r="M52" s="7" t="str">
        <f>CONCATENATE("81001490440")</f>
        <v>81001490440</v>
      </c>
      <c r="N52" s="7" t="s">
        <v>131</v>
      </c>
      <c r="O52" s="7" t="s">
        <v>105</v>
      </c>
      <c r="P52" s="8">
        <v>44361</v>
      </c>
      <c r="Q52" s="7" t="s">
        <v>31</v>
      </c>
      <c r="R52" s="7" t="s">
        <v>32</v>
      </c>
      <c r="S52" s="7" t="s">
        <v>33</v>
      </c>
      <c r="T52" s="7"/>
      <c r="U52" s="7" t="s">
        <v>34</v>
      </c>
      <c r="V52" s="9">
        <v>36116.620000000003</v>
      </c>
      <c r="W52" s="9">
        <v>15573.49</v>
      </c>
      <c r="X52" s="9">
        <v>14381.64</v>
      </c>
      <c r="Y52" s="7">
        <v>0</v>
      </c>
      <c r="Z52" s="9">
        <v>6161.49</v>
      </c>
    </row>
    <row r="53" spans="1:26" x14ac:dyDescent="0.35">
      <c r="A53" s="7" t="s">
        <v>27</v>
      </c>
      <c r="B53" s="7" t="s">
        <v>36</v>
      </c>
      <c r="C53" s="7" t="s">
        <v>45</v>
      </c>
      <c r="D53" s="7" t="s">
        <v>45</v>
      </c>
      <c r="E53" s="7" t="s">
        <v>37</v>
      </c>
      <c r="F53" s="7" t="s">
        <v>37</v>
      </c>
      <c r="G53" s="7">
        <v>2017</v>
      </c>
      <c r="H53" s="7" t="str">
        <f>CONCATENATE("04270233382")</f>
        <v>04270233382</v>
      </c>
      <c r="I53" s="7" t="s">
        <v>29</v>
      </c>
      <c r="J53" s="7" t="s">
        <v>30</v>
      </c>
      <c r="K53" s="7" t="str">
        <f>CONCATENATE("")</f>
        <v/>
      </c>
      <c r="L53" s="7" t="str">
        <f>CONCATENATE("19 19.2 6b")</f>
        <v>19 19.2 6b</v>
      </c>
      <c r="M53" s="7" t="str">
        <f>CONCATENATE("81002090447")</f>
        <v>81002090447</v>
      </c>
      <c r="N53" s="7" t="s">
        <v>132</v>
      </c>
      <c r="O53" s="7" t="s">
        <v>105</v>
      </c>
      <c r="P53" s="8">
        <v>44361</v>
      </c>
      <c r="Q53" s="7" t="s">
        <v>31</v>
      </c>
      <c r="R53" s="7" t="s">
        <v>32</v>
      </c>
      <c r="S53" s="7" t="s">
        <v>33</v>
      </c>
      <c r="T53" s="7"/>
      <c r="U53" s="7" t="s">
        <v>34</v>
      </c>
      <c r="V53" s="9">
        <v>31192.74</v>
      </c>
      <c r="W53" s="9">
        <v>13450.31</v>
      </c>
      <c r="X53" s="9">
        <v>12420.95</v>
      </c>
      <c r="Y53" s="7">
        <v>0</v>
      </c>
      <c r="Z53" s="9">
        <v>5321.48</v>
      </c>
    </row>
    <row r="54" spans="1:26" x14ac:dyDescent="0.35">
      <c r="A54" s="7" t="s">
        <v>27</v>
      </c>
      <c r="B54" s="7" t="s">
        <v>28</v>
      </c>
      <c r="C54" s="7" t="s">
        <v>45</v>
      </c>
      <c r="D54" s="7" t="s">
        <v>46</v>
      </c>
      <c r="E54" s="7" t="s">
        <v>39</v>
      </c>
      <c r="F54" s="7" t="s">
        <v>117</v>
      </c>
      <c r="G54" s="7">
        <v>2020</v>
      </c>
      <c r="H54" s="7" t="str">
        <f>CONCATENATE("04210493542")</f>
        <v>04210493542</v>
      </c>
      <c r="I54" s="7" t="s">
        <v>29</v>
      </c>
      <c r="J54" s="7" t="s">
        <v>30</v>
      </c>
      <c r="K54" s="7" t="str">
        <f>CONCATENATE("")</f>
        <v/>
      </c>
      <c r="L54" s="7" t="str">
        <f>CONCATENATE("13 13.1 4a")</f>
        <v>13 13.1 4a</v>
      </c>
      <c r="M54" s="7" t="str">
        <f>CONCATENATE("VTLRRT61R21I461W")</f>
        <v>VTLRRT61R21I461W</v>
      </c>
      <c r="N54" s="7" t="s">
        <v>133</v>
      </c>
      <c r="O54" s="7" t="s">
        <v>116</v>
      </c>
      <c r="P54" s="8">
        <v>44361</v>
      </c>
      <c r="Q54" s="7" t="s">
        <v>31</v>
      </c>
      <c r="R54" s="7" t="s">
        <v>32</v>
      </c>
      <c r="S54" s="7" t="s">
        <v>33</v>
      </c>
      <c r="T54" s="7"/>
      <c r="U54" s="7" t="s">
        <v>34</v>
      </c>
      <c r="V54" s="9">
        <v>3083.62</v>
      </c>
      <c r="W54" s="9">
        <v>1329.66</v>
      </c>
      <c r="X54" s="9">
        <v>1227.9000000000001</v>
      </c>
      <c r="Y54" s="7">
        <v>0</v>
      </c>
      <c r="Z54" s="7">
        <v>526.05999999999995</v>
      </c>
    </row>
    <row r="55" spans="1:26" x14ac:dyDescent="0.35">
      <c r="A55" s="7" t="s">
        <v>27</v>
      </c>
      <c r="B55" s="7" t="s">
        <v>28</v>
      </c>
      <c r="C55" s="7" t="s">
        <v>45</v>
      </c>
      <c r="D55" s="7" t="s">
        <v>50</v>
      </c>
      <c r="E55" s="7" t="s">
        <v>35</v>
      </c>
      <c r="F55" s="7" t="s">
        <v>125</v>
      </c>
      <c r="G55" s="7">
        <v>2020</v>
      </c>
      <c r="H55" s="7" t="str">
        <f>CONCATENATE("04210817617")</f>
        <v>04210817617</v>
      </c>
      <c r="I55" s="7" t="s">
        <v>29</v>
      </c>
      <c r="J55" s="7" t="s">
        <v>30</v>
      </c>
      <c r="K55" s="7" t="str">
        <f>CONCATENATE("")</f>
        <v/>
      </c>
      <c r="L55" s="7" t="str">
        <f>CONCATENATE("13 13.1 4a")</f>
        <v>13 13.1 4a</v>
      </c>
      <c r="M55" s="7" t="str">
        <f>CONCATENATE("CCCFNC53A27C935K")</f>
        <v>CCCFNC53A27C935K</v>
      </c>
      <c r="N55" s="7" t="s">
        <v>134</v>
      </c>
      <c r="O55" s="7" t="s">
        <v>116</v>
      </c>
      <c r="P55" s="8">
        <v>44361</v>
      </c>
      <c r="Q55" s="7" t="s">
        <v>31</v>
      </c>
      <c r="R55" s="7" t="s">
        <v>32</v>
      </c>
      <c r="S55" s="7" t="s">
        <v>33</v>
      </c>
      <c r="T55" s="7"/>
      <c r="U55" s="7" t="s">
        <v>34</v>
      </c>
      <c r="V55" s="7">
        <v>10.37</v>
      </c>
      <c r="W55" s="7">
        <v>4.47</v>
      </c>
      <c r="X55" s="7">
        <v>4.13</v>
      </c>
      <c r="Y55" s="7">
        <v>0</v>
      </c>
      <c r="Z55" s="7">
        <v>1.77</v>
      </c>
    </row>
    <row r="56" spans="1:26" x14ac:dyDescent="0.35">
      <c r="A56" s="7" t="s">
        <v>27</v>
      </c>
      <c r="B56" s="7" t="s">
        <v>28</v>
      </c>
      <c r="C56" s="7" t="s">
        <v>45</v>
      </c>
      <c r="D56" s="7" t="s">
        <v>46</v>
      </c>
      <c r="E56" s="7" t="s">
        <v>39</v>
      </c>
      <c r="F56" s="7" t="s">
        <v>117</v>
      </c>
      <c r="G56" s="7">
        <v>2020</v>
      </c>
      <c r="H56" s="7" t="str">
        <f>CONCATENATE("04210775567")</f>
        <v>04210775567</v>
      </c>
      <c r="I56" s="7" t="s">
        <v>40</v>
      </c>
      <c r="J56" s="7" t="s">
        <v>30</v>
      </c>
      <c r="K56" s="7" t="str">
        <f>CONCATENATE("")</f>
        <v/>
      </c>
      <c r="L56" s="7" t="str">
        <f>CONCATENATE("13 13.1 4a")</f>
        <v>13 13.1 4a</v>
      </c>
      <c r="M56" s="7" t="str">
        <f>CONCATENATE("ZMPTLI39P15D451P")</f>
        <v>ZMPTLI39P15D451P</v>
      </c>
      <c r="N56" s="7" t="s">
        <v>135</v>
      </c>
      <c r="O56" s="7" t="s">
        <v>116</v>
      </c>
      <c r="P56" s="8">
        <v>44361</v>
      </c>
      <c r="Q56" s="7" t="s">
        <v>31</v>
      </c>
      <c r="R56" s="7" t="s">
        <v>32</v>
      </c>
      <c r="S56" s="7" t="s">
        <v>33</v>
      </c>
      <c r="T56" s="7"/>
      <c r="U56" s="7" t="s">
        <v>34</v>
      </c>
      <c r="V56" s="7">
        <v>901.5</v>
      </c>
      <c r="W56" s="7">
        <v>388.73</v>
      </c>
      <c r="X56" s="7">
        <v>358.98</v>
      </c>
      <c r="Y56" s="7">
        <v>0</v>
      </c>
      <c r="Z56" s="7">
        <v>153.79</v>
      </c>
    </row>
    <row r="57" spans="1:26" x14ac:dyDescent="0.35">
      <c r="A57" s="7" t="s">
        <v>27</v>
      </c>
      <c r="B57" s="7" t="s">
        <v>28</v>
      </c>
      <c r="C57" s="7" t="s">
        <v>45</v>
      </c>
      <c r="D57" s="7" t="s">
        <v>46</v>
      </c>
      <c r="E57" s="7" t="s">
        <v>35</v>
      </c>
      <c r="F57" s="7" t="s">
        <v>127</v>
      </c>
      <c r="G57" s="7">
        <v>2020</v>
      </c>
      <c r="H57" s="7" t="str">
        <f>CONCATENATE("04210507069")</f>
        <v>04210507069</v>
      </c>
      <c r="I57" s="7" t="s">
        <v>40</v>
      </c>
      <c r="J57" s="7" t="s">
        <v>30</v>
      </c>
      <c r="K57" s="7" t="str">
        <f>CONCATENATE("")</f>
        <v/>
      </c>
      <c r="L57" s="7" t="str">
        <f>CONCATENATE("13 13.1 4a")</f>
        <v>13 13.1 4a</v>
      </c>
      <c r="M57" s="7" t="str">
        <f>CONCATENATE("RSSLSN82L08D451F")</f>
        <v>RSSLSN82L08D451F</v>
      </c>
      <c r="N57" s="7" t="s">
        <v>136</v>
      </c>
      <c r="O57" s="7" t="s">
        <v>116</v>
      </c>
      <c r="P57" s="8">
        <v>44361</v>
      </c>
      <c r="Q57" s="7" t="s">
        <v>31</v>
      </c>
      <c r="R57" s="7" t="s">
        <v>32</v>
      </c>
      <c r="S57" s="7" t="s">
        <v>33</v>
      </c>
      <c r="T57" s="7"/>
      <c r="U57" s="7" t="s">
        <v>34</v>
      </c>
      <c r="V57" s="9">
        <v>4647.04</v>
      </c>
      <c r="W57" s="9">
        <v>2003.8</v>
      </c>
      <c r="X57" s="9">
        <v>1850.45</v>
      </c>
      <c r="Y57" s="7">
        <v>0</v>
      </c>
      <c r="Z57" s="7">
        <v>792.79</v>
      </c>
    </row>
    <row r="58" spans="1:26" x14ac:dyDescent="0.35">
      <c r="A58" s="7" t="s">
        <v>27</v>
      </c>
      <c r="B58" s="7" t="s">
        <v>28</v>
      </c>
      <c r="C58" s="7" t="s">
        <v>45</v>
      </c>
      <c r="D58" s="7" t="s">
        <v>61</v>
      </c>
      <c r="E58" s="7" t="s">
        <v>42</v>
      </c>
      <c r="F58" s="7" t="s">
        <v>121</v>
      </c>
      <c r="G58" s="7">
        <v>2020</v>
      </c>
      <c r="H58" s="7" t="str">
        <f>CONCATENATE("04210473502")</f>
        <v>04210473502</v>
      </c>
      <c r="I58" s="7" t="s">
        <v>29</v>
      </c>
      <c r="J58" s="7" t="s">
        <v>30</v>
      </c>
      <c r="K58" s="7" t="str">
        <f>CONCATENATE("")</f>
        <v/>
      </c>
      <c r="L58" s="7" t="str">
        <f>CONCATENATE("13 13.1 4a")</f>
        <v>13 13.1 4a</v>
      </c>
      <c r="M58" s="7" t="str">
        <f>CONCATENATE("01976250439")</f>
        <v>01976250439</v>
      </c>
      <c r="N58" s="7" t="s">
        <v>137</v>
      </c>
      <c r="O58" s="7" t="s">
        <v>116</v>
      </c>
      <c r="P58" s="8">
        <v>44361</v>
      </c>
      <c r="Q58" s="7" t="s">
        <v>31</v>
      </c>
      <c r="R58" s="7" t="s">
        <v>32</v>
      </c>
      <c r="S58" s="7" t="s">
        <v>33</v>
      </c>
      <c r="T58" s="7"/>
      <c r="U58" s="7" t="s">
        <v>34</v>
      </c>
      <c r="V58" s="9">
        <v>8704.14</v>
      </c>
      <c r="W58" s="9">
        <v>3753.23</v>
      </c>
      <c r="X58" s="9">
        <v>3465.99</v>
      </c>
      <c r="Y58" s="7">
        <v>0</v>
      </c>
      <c r="Z58" s="9">
        <v>1484.92</v>
      </c>
    </row>
    <row r="59" spans="1:26" x14ac:dyDescent="0.35">
      <c r="A59" s="7" t="s">
        <v>27</v>
      </c>
      <c r="B59" s="7" t="s">
        <v>28</v>
      </c>
      <c r="C59" s="7" t="s">
        <v>45</v>
      </c>
      <c r="D59" s="7" t="s">
        <v>61</v>
      </c>
      <c r="E59" s="7" t="s">
        <v>35</v>
      </c>
      <c r="F59" s="7" t="s">
        <v>69</v>
      </c>
      <c r="G59" s="7">
        <v>2020</v>
      </c>
      <c r="H59" s="7" t="str">
        <f>CONCATENATE("04210533727")</f>
        <v>04210533727</v>
      </c>
      <c r="I59" s="7" t="s">
        <v>29</v>
      </c>
      <c r="J59" s="7" t="s">
        <v>30</v>
      </c>
      <c r="K59" s="7" t="str">
        <f>CONCATENATE("")</f>
        <v/>
      </c>
      <c r="L59" s="7" t="str">
        <f>CONCATENATE("13 13.1 4a")</f>
        <v>13 13.1 4a</v>
      </c>
      <c r="M59" s="7" t="str">
        <f>CONCATENATE("SNSNTN42E12M078M")</f>
        <v>SNSNTN42E12M078M</v>
      </c>
      <c r="N59" s="7" t="s">
        <v>138</v>
      </c>
      <c r="O59" s="7" t="s">
        <v>116</v>
      </c>
      <c r="P59" s="8">
        <v>44361</v>
      </c>
      <c r="Q59" s="7" t="s">
        <v>31</v>
      </c>
      <c r="R59" s="7" t="s">
        <v>32</v>
      </c>
      <c r="S59" s="7" t="s">
        <v>33</v>
      </c>
      <c r="T59" s="7"/>
      <c r="U59" s="7" t="s">
        <v>34</v>
      </c>
      <c r="V59" s="9">
        <v>1159.1400000000001</v>
      </c>
      <c r="W59" s="7">
        <v>499.82</v>
      </c>
      <c r="X59" s="7">
        <v>461.57</v>
      </c>
      <c r="Y59" s="7">
        <v>0</v>
      </c>
      <c r="Z59" s="7">
        <v>197.75</v>
      </c>
    </row>
    <row r="60" spans="1:26" x14ac:dyDescent="0.35">
      <c r="A60" s="7" t="s">
        <v>27</v>
      </c>
      <c r="B60" s="7" t="s">
        <v>28</v>
      </c>
      <c r="C60" s="7" t="s">
        <v>45</v>
      </c>
      <c r="D60" s="7" t="s">
        <v>61</v>
      </c>
      <c r="E60" s="7" t="s">
        <v>35</v>
      </c>
      <c r="F60" s="7" t="s">
        <v>69</v>
      </c>
      <c r="G60" s="7">
        <v>2020</v>
      </c>
      <c r="H60" s="7" t="str">
        <f>CONCATENATE("04210866481")</f>
        <v>04210866481</v>
      </c>
      <c r="I60" s="7" t="s">
        <v>29</v>
      </c>
      <c r="J60" s="7" t="s">
        <v>30</v>
      </c>
      <c r="K60" s="7" t="str">
        <f>CONCATENATE("")</f>
        <v/>
      </c>
      <c r="L60" s="7" t="str">
        <f>CONCATENATE("13 13.1 4a")</f>
        <v>13 13.1 4a</v>
      </c>
      <c r="M60" s="7" t="str">
        <f>CONCATENATE("RSSNCL43B08I569Q")</f>
        <v>RSSNCL43B08I569Q</v>
      </c>
      <c r="N60" s="7" t="s">
        <v>139</v>
      </c>
      <c r="O60" s="7" t="s">
        <v>116</v>
      </c>
      <c r="P60" s="8">
        <v>44361</v>
      </c>
      <c r="Q60" s="7" t="s">
        <v>31</v>
      </c>
      <c r="R60" s="7" t="s">
        <v>32</v>
      </c>
      <c r="S60" s="7" t="s">
        <v>33</v>
      </c>
      <c r="T60" s="7"/>
      <c r="U60" s="7" t="s">
        <v>34</v>
      </c>
      <c r="V60" s="7">
        <v>908.85</v>
      </c>
      <c r="W60" s="7">
        <v>391.9</v>
      </c>
      <c r="X60" s="7">
        <v>361.9</v>
      </c>
      <c r="Y60" s="7">
        <v>0</v>
      </c>
      <c r="Z60" s="7">
        <v>155.05000000000001</v>
      </c>
    </row>
    <row r="61" spans="1:26" x14ac:dyDescent="0.35">
      <c r="A61" s="7" t="s">
        <v>27</v>
      </c>
      <c r="B61" s="7" t="s">
        <v>28</v>
      </c>
      <c r="C61" s="7" t="s">
        <v>45</v>
      </c>
      <c r="D61" s="7" t="s">
        <v>46</v>
      </c>
      <c r="E61" s="7" t="s">
        <v>39</v>
      </c>
      <c r="F61" s="7" t="s">
        <v>117</v>
      </c>
      <c r="G61" s="7">
        <v>2020</v>
      </c>
      <c r="H61" s="7" t="str">
        <f>CONCATENATE("04210426971")</f>
        <v>04210426971</v>
      </c>
      <c r="I61" s="7" t="s">
        <v>29</v>
      </c>
      <c r="J61" s="7" t="s">
        <v>30</v>
      </c>
      <c r="K61" s="7" t="str">
        <f>CONCATENATE("")</f>
        <v/>
      </c>
      <c r="L61" s="7" t="str">
        <f>CONCATENATE("13 13.1 4a")</f>
        <v>13 13.1 4a</v>
      </c>
      <c r="M61" s="7" t="str">
        <f>CONCATENATE("LTNSLV40D66H886Q")</f>
        <v>LTNSLV40D66H886Q</v>
      </c>
      <c r="N61" s="7" t="s">
        <v>140</v>
      </c>
      <c r="O61" s="7" t="s">
        <v>116</v>
      </c>
      <c r="P61" s="8">
        <v>44361</v>
      </c>
      <c r="Q61" s="7" t="s">
        <v>31</v>
      </c>
      <c r="R61" s="7" t="s">
        <v>32</v>
      </c>
      <c r="S61" s="7" t="s">
        <v>33</v>
      </c>
      <c r="T61" s="7"/>
      <c r="U61" s="7" t="s">
        <v>34</v>
      </c>
      <c r="V61" s="9">
        <v>2209.04</v>
      </c>
      <c r="W61" s="7">
        <v>952.54</v>
      </c>
      <c r="X61" s="7">
        <v>879.64</v>
      </c>
      <c r="Y61" s="7">
        <v>0</v>
      </c>
      <c r="Z61" s="7">
        <v>376.86</v>
      </c>
    </row>
    <row r="62" spans="1:26" x14ac:dyDescent="0.35">
      <c r="A62" s="7" t="s">
        <v>27</v>
      </c>
      <c r="B62" s="7" t="s">
        <v>28</v>
      </c>
      <c r="C62" s="7" t="s">
        <v>45</v>
      </c>
      <c r="D62" s="7" t="s">
        <v>61</v>
      </c>
      <c r="E62" s="7" t="s">
        <v>35</v>
      </c>
      <c r="F62" s="7" t="s">
        <v>69</v>
      </c>
      <c r="G62" s="7">
        <v>2020</v>
      </c>
      <c r="H62" s="7" t="str">
        <f>CONCATENATE("04210371912")</f>
        <v>04210371912</v>
      </c>
      <c r="I62" s="7" t="s">
        <v>29</v>
      </c>
      <c r="J62" s="7" t="s">
        <v>30</v>
      </c>
      <c r="K62" s="7" t="str">
        <f>CONCATENATE("")</f>
        <v/>
      </c>
      <c r="L62" s="7" t="str">
        <f>CONCATENATE("13 13.1 4a")</f>
        <v>13 13.1 4a</v>
      </c>
      <c r="M62" s="7" t="str">
        <f>CONCATENATE("BRZRND39C08G690V")</f>
        <v>BRZRND39C08G690V</v>
      </c>
      <c r="N62" s="7" t="s">
        <v>141</v>
      </c>
      <c r="O62" s="7" t="s">
        <v>116</v>
      </c>
      <c r="P62" s="8">
        <v>44361</v>
      </c>
      <c r="Q62" s="7" t="s">
        <v>31</v>
      </c>
      <c r="R62" s="7" t="s">
        <v>32</v>
      </c>
      <c r="S62" s="7" t="s">
        <v>33</v>
      </c>
      <c r="T62" s="7"/>
      <c r="U62" s="7" t="s">
        <v>34</v>
      </c>
      <c r="V62" s="7">
        <v>471.08</v>
      </c>
      <c r="W62" s="7">
        <v>203.13</v>
      </c>
      <c r="X62" s="7">
        <v>187.58</v>
      </c>
      <c r="Y62" s="7">
        <v>0</v>
      </c>
      <c r="Z62" s="7">
        <v>80.37</v>
      </c>
    </row>
    <row r="63" spans="1:26" x14ac:dyDescent="0.35">
      <c r="A63" s="7" t="s">
        <v>27</v>
      </c>
      <c r="B63" s="7" t="s">
        <v>28</v>
      </c>
      <c r="C63" s="7" t="s">
        <v>45</v>
      </c>
      <c r="D63" s="7" t="s">
        <v>50</v>
      </c>
      <c r="E63" s="7" t="s">
        <v>35</v>
      </c>
      <c r="F63" s="7" t="s">
        <v>142</v>
      </c>
      <c r="G63" s="7">
        <v>2020</v>
      </c>
      <c r="H63" s="7" t="str">
        <f>CONCATENATE("04210140655")</f>
        <v>04210140655</v>
      </c>
      <c r="I63" s="7" t="s">
        <v>29</v>
      </c>
      <c r="J63" s="7" t="s">
        <v>30</v>
      </c>
      <c r="K63" s="7" t="str">
        <f>CONCATENATE("")</f>
        <v/>
      </c>
      <c r="L63" s="7" t="str">
        <f>CONCATENATE("13 13.1 4a")</f>
        <v>13 13.1 4a</v>
      </c>
      <c r="M63" s="7" t="str">
        <f>CONCATENATE("SNTGRL64T09A437R")</f>
        <v>SNTGRL64T09A437R</v>
      </c>
      <c r="N63" s="7" t="s">
        <v>143</v>
      </c>
      <c r="O63" s="7" t="s">
        <v>116</v>
      </c>
      <c r="P63" s="8">
        <v>44361</v>
      </c>
      <c r="Q63" s="7" t="s">
        <v>31</v>
      </c>
      <c r="R63" s="7" t="s">
        <v>32</v>
      </c>
      <c r="S63" s="7" t="s">
        <v>33</v>
      </c>
      <c r="T63" s="7"/>
      <c r="U63" s="7" t="s">
        <v>34</v>
      </c>
      <c r="V63" s="9">
        <v>1396.98</v>
      </c>
      <c r="W63" s="7">
        <v>602.38</v>
      </c>
      <c r="X63" s="7">
        <v>556.28</v>
      </c>
      <c r="Y63" s="7">
        <v>0</v>
      </c>
      <c r="Z63" s="7">
        <v>238.32</v>
      </c>
    </row>
    <row r="64" spans="1:26" x14ac:dyDescent="0.35">
      <c r="A64" s="7" t="s">
        <v>27</v>
      </c>
      <c r="B64" s="7" t="s">
        <v>28</v>
      </c>
      <c r="C64" s="7" t="s">
        <v>45</v>
      </c>
      <c r="D64" s="7" t="s">
        <v>57</v>
      </c>
      <c r="E64" s="7" t="s">
        <v>38</v>
      </c>
      <c r="F64" s="7" t="s">
        <v>123</v>
      </c>
      <c r="G64" s="7">
        <v>2020</v>
      </c>
      <c r="H64" s="7" t="str">
        <f>CONCATENATE("04210476992")</f>
        <v>04210476992</v>
      </c>
      <c r="I64" s="7" t="s">
        <v>29</v>
      </c>
      <c r="J64" s="7" t="s">
        <v>30</v>
      </c>
      <c r="K64" s="7" t="str">
        <f>CONCATENATE("")</f>
        <v/>
      </c>
      <c r="L64" s="7" t="str">
        <f>CONCATENATE("13 13.1 4a")</f>
        <v>13 13.1 4a</v>
      </c>
      <c r="M64" s="7" t="str">
        <f>CONCATENATE("LSCSMN79D61G942V")</f>
        <v>LSCSMN79D61G942V</v>
      </c>
      <c r="N64" s="7" t="s">
        <v>144</v>
      </c>
      <c r="O64" s="7" t="s">
        <v>116</v>
      </c>
      <c r="P64" s="8">
        <v>44361</v>
      </c>
      <c r="Q64" s="7" t="s">
        <v>31</v>
      </c>
      <c r="R64" s="7" t="s">
        <v>32</v>
      </c>
      <c r="S64" s="7" t="s">
        <v>33</v>
      </c>
      <c r="T64" s="7"/>
      <c r="U64" s="7" t="s">
        <v>34</v>
      </c>
      <c r="V64" s="7">
        <v>849.94</v>
      </c>
      <c r="W64" s="7">
        <v>366.49</v>
      </c>
      <c r="X64" s="7">
        <v>338.45</v>
      </c>
      <c r="Y64" s="7">
        <v>0</v>
      </c>
      <c r="Z64" s="7">
        <v>145</v>
      </c>
    </row>
    <row r="65" spans="1:26" ht="17.5" x14ac:dyDescent="0.35">
      <c r="A65" s="7" t="s">
        <v>27</v>
      </c>
      <c r="B65" s="7" t="s">
        <v>28</v>
      </c>
      <c r="C65" s="7" t="s">
        <v>45</v>
      </c>
      <c r="D65" s="7" t="s">
        <v>46</v>
      </c>
      <c r="E65" s="7" t="s">
        <v>38</v>
      </c>
      <c r="F65" s="7" t="s">
        <v>145</v>
      </c>
      <c r="G65" s="7">
        <v>2020</v>
      </c>
      <c r="H65" s="7" t="str">
        <f>CONCATENATE("04210613644")</f>
        <v>04210613644</v>
      </c>
      <c r="I65" s="7" t="s">
        <v>29</v>
      </c>
      <c r="J65" s="7" t="s">
        <v>30</v>
      </c>
      <c r="K65" s="7" t="str">
        <f>CONCATENATE("")</f>
        <v/>
      </c>
      <c r="L65" s="7" t="str">
        <f>CONCATENATE("13 13.1 4a")</f>
        <v>13 13.1 4a</v>
      </c>
      <c r="M65" s="7" t="str">
        <f>CONCATENATE("02840440420")</f>
        <v>02840440420</v>
      </c>
      <c r="N65" s="7" t="s">
        <v>146</v>
      </c>
      <c r="O65" s="7" t="s">
        <v>116</v>
      </c>
      <c r="P65" s="8">
        <v>44361</v>
      </c>
      <c r="Q65" s="7" t="s">
        <v>31</v>
      </c>
      <c r="R65" s="7" t="s">
        <v>32</v>
      </c>
      <c r="S65" s="7" t="s">
        <v>33</v>
      </c>
      <c r="T65" s="7"/>
      <c r="U65" s="7" t="s">
        <v>34</v>
      </c>
      <c r="V65" s="9">
        <v>3459.49</v>
      </c>
      <c r="W65" s="9">
        <v>1491.73</v>
      </c>
      <c r="X65" s="9">
        <v>1377.57</v>
      </c>
      <c r="Y65" s="7">
        <v>0</v>
      </c>
      <c r="Z65" s="7">
        <v>590.19000000000005</v>
      </c>
    </row>
    <row r="66" spans="1:26" x14ac:dyDescent="0.35">
      <c r="A66" s="7" t="s">
        <v>27</v>
      </c>
      <c r="B66" s="7" t="s">
        <v>28</v>
      </c>
      <c r="C66" s="7" t="s">
        <v>45</v>
      </c>
      <c r="D66" s="7" t="s">
        <v>57</v>
      </c>
      <c r="E66" s="7" t="s">
        <v>41</v>
      </c>
      <c r="F66" s="7" t="s">
        <v>147</v>
      </c>
      <c r="G66" s="7">
        <v>2020</v>
      </c>
      <c r="H66" s="7" t="str">
        <f>CONCATENATE("04240582876")</f>
        <v>04240582876</v>
      </c>
      <c r="I66" s="7" t="s">
        <v>29</v>
      </c>
      <c r="J66" s="7" t="s">
        <v>30</v>
      </c>
      <c r="K66" s="7" t="str">
        <f>CONCATENATE("")</f>
        <v/>
      </c>
      <c r="L66" s="7" t="str">
        <f>CONCATENATE("11 11.2 4b")</f>
        <v>11 11.2 4b</v>
      </c>
      <c r="M66" s="7" t="str">
        <f>CONCATENATE("01397120419")</f>
        <v>01397120419</v>
      </c>
      <c r="N66" s="7" t="s">
        <v>148</v>
      </c>
      <c r="O66" s="7" t="s">
        <v>149</v>
      </c>
      <c r="P66" s="8">
        <v>44361</v>
      </c>
      <c r="Q66" s="7" t="s">
        <v>31</v>
      </c>
      <c r="R66" s="7" t="s">
        <v>32</v>
      </c>
      <c r="S66" s="7" t="s">
        <v>33</v>
      </c>
      <c r="T66" s="7"/>
      <c r="U66" s="7" t="s">
        <v>34</v>
      </c>
      <c r="V66" s="9">
        <v>1779.52</v>
      </c>
      <c r="W66" s="7">
        <v>767.33</v>
      </c>
      <c r="X66" s="7">
        <v>708.6</v>
      </c>
      <c r="Y66" s="7">
        <v>0</v>
      </c>
      <c r="Z66" s="7">
        <v>303.58999999999997</v>
      </c>
    </row>
    <row r="67" spans="1:26" x14ac:dyDescent="0.35">
      <c r="A67" s="7" t="s">
        <v>27</v>
      </c>
      <c r="B67" s="7" t="s">
        <v>28</v>
      </c>
      <c r="C67" s="7" t="s">
        <v>45</v>
      </c>
      <c r="D67" s="7" t="s">
        <v>50</v>
      </c>
      <c r="E67" s="7" t="s">
        <v>37</v>
      </c>
      <c r="F67" s="7" t="s">
        <v>37</v>
      </c>
      <c r="G67" s="7">
        <v>2018</v>
      </c>
      <c r="H67" s="7" t="str">
        <f>CONCATENATE("84240981740")</f>
        <v>84240981740</v>
      </c>
      <c r="I67" s="7" t="s">
        <v>40</v>
      </c>
      <c r="J67" s="7" t="s">
        <v>30</v>
      </c>
      <c r="K67" s="7" t="str">
        <f>CONCATENATE("")</f>
        <v/>
      </c>
      <c r="L67" s="7" t="str">
        <f>CONCATENATE("11 11.2 4b")</f>
        <v>11 11.2 4b</v>
      </c>
      <c r="M67" s="7" t="str">
        <f>CONCATENATE("LNCFBA85R03H769N")</f>
        <v>LNCFBA85R03H769N</v>
      </c>
      <c r="N67" s="7" t="s">
        <v>150</v>
      </c>
      <c r="O67" s="7" t="s">
        <v>149</v>
      </c>
      <c r="P67" s="8">
        <v>44361</v>
      </c>
      <c r="Q67" s="7" t="s">
        <v>31</v>
      </c>
      <c r="R67" s="7" t="s">
        <v>32</v>
      </c>
      <c r="S67" s="7" t="s">
        <v>33</v>
      </c>
      <c r="T67" s="7"/>
      <c r="U67" s="7" t="s">
        <v>34</v>
      </c>
      <c r="V67" s="9">
        <v>2630.36</v>
      </c>
      <c r="W67" s="9">
        <v>1134.21</v>
      </c>
      <c r="X67" s="9">
        <v>1047.4100000000001</v>
      </c>
      <c r="Y67" s="7">
        <v>0</v>
      </c>
      <c r="Z67" s="7">
        <v>448.74</v>
      </c>
    </row>
    <row r="68" spans="1:26" x14ac:dyDescent="0.35">
      <c r="A68" s="7" t="s">
        <v>27</v>
      </c>
      <c r="B68" s="7" t="s">
        <v>28</v>
      </c>
      <c r="C68" s="7" t="s">
        <v>45</v>
      </c>
      <c r="D68" s="7" t="s">
        <v>50</v>
      </c>
      <c r="E68" s="7" t="s">
        <v>35</v>
      </c>
      <c r="F68" s="7" t="s">
        <v>151</v>
      </c>
      <c r="G68" s="7">
        <v>2020</v>
      </c>
      <c r="H68" s="7" t="str">
        <f>CONCATENATE("04240533010")</f>
        <v>04240533010</v>
      </c>
      <c r="I68" s="7" t="s">
        <v>29</v>
      </c>
      <c r="J68" s="7" t="s">
        <v>30</v>
      </c>
      <c r="K68" s="7" t="str">
        <f>CONCATENATE("")</f>
        <v/>
      </c>
      <c r="L68" s="7" t="str">
        <f>CONCATENATE("11 11.1 4b")</f>
        <v>11 11.1 4b</v>
      </c>
      <c r="M68" s="7" t="str">
        <f>CONCATENATE("SPNFBA85D05H769R")</f>
        <v>SPNFBA85D05H769R</v>
      </c>
      <c r="N68" s="7" t="s">
        <v>152</v>
      </c>
      <c r="O68" s="7" t="s">
        <v>149</v>
      </c>
      <c r="P68" s="8">
        <v>44361</v>
      </c>
      <c r="Q68" s="7" t="s">
        <v>31</v>
      </c>
      <c r="R68" s="7" t="s">
        <v>32</v>
      </c>
      <c r="S68" s="7" t="s">
        <v>33</v>
      </c>
      <c r="T68" s="7"/>
      <c r="U68" s="7" t="s">
        <v>34</v>
      </c>
      <c r="V68" s="7">
        <v>605.6</v>
      </c>
      <c r="W68" s="7">
        <v>261.13</v>
      </c>
      <c r="X68" s="7">
        <v>241.15</v>
      </c>
      <c r="Y68" s="7">
        <v>0</v>
      </c>
      <c r="Z68" s="7">
        <v>103.32</v>
      </c>
    </row>
    <row r="69" spans="1:26" ht="17.5" x14ac:dyDescent="0.35">
      <c r="A69" s="7" t="s">
        <v>27</v>
      </c>
      <c r="B69" s="7" t="s">
        <v>28</v>
      </c>
      <c r="C69" s="7" t="s">
        <v>45</v>
      </c>
      <c r="D69" s="7" t="s">
        <v>50</v>
      </c>
      <c r="E69" s="7" t="s">
        <v>41</v>
      </c>
      <c r="F69" s="7" t="s">
        <v>153</v>
      </c>
      <c r="G69" s="7">
        <v>2020</v>
      </c>
      <c r="H69" s="7" t="str">
        <f>CONCATENATE("04240722910")</f>
        <v>04240722910</v>
      </c>
      <c r="I69" s="7" t="s">
        <v>29</v>
      </c>
      <c r="J69" s="7" t="s">
        <v>30</v>
      </c>
      <c r="K69" s="7" t="str">
        <f>CONCATENATE("")</f>
        <v/>
      </c>
      <c r="L69" s="7" t="str">
        <f>CONCATENATE("11 11.1 4b")</f>
        <v>11 11.1 4b</v>
      </c>
      <c r="M69" s="7" t="str">
        <f>CONCATENATE("01968650448")</f>
        <v>01968650448</v>
      </c>
      <c r="N69" s="7" t="s">
        <v>154</v>
      </c>
      <c r="O69" s="7" t="s">
        <v>149</v>
      </c>
      <c r="P69" s="8">
        <v>44361</v>
      </c>
      <c r="Q69" s="7" t="s">
        <v>31</v>
      </c>
      <c r="R69" s="7" t="s">
        <v>32</v>
      </c>
      <c r="S69" s="7" t="s">
        <v>33</v>
      </c>
      <c r="T69" s="7"/>
      <c r="U69" s="7" t="s">
        <v>34</v>
      </c>
      <c r="V69" s="9">
        <v>3931.12</v>
      </c>
      <c r="W69" s="9">
        <v>1695.1</v>
      </c>
      <c r="X69" s="9">
        <v>1565.37</v>
      </c>
      <c r="Y69" s="7">
        <v>0</v>
      </c>
      <c r="Z69" s="7">
        <v>670.65</v>
      </c>
    </row>
    <row r="70" spans="1:26" ht="17.5" x14ac:dyDescent="0.35">
      <c r="A70" s="7" t="s">
        <v>27</v>
      </c>
      <c r="B70" s="7" t="s">
        <v>28</v>
      </c>
      <c r="C70" s="7" t="s">
        <v>45</v>
      </c>
      <c r="D70" s="7" t="s">
        <v>61</v>
      </c>
      <c r="E70" s="7" t="s">
        <v>38</v>
      </c>
      <c r="F70" s="7" t="s">
        <v>89</v>
      </c>
      <c r="G70" s="7">
        <v>2018</v>
      </c>
      <c r="H70" s="7" t="str">
        <f>CONCATENATE("84240955538")</f>
        <v>84240955538</v>
      </c>
      <c r="I70" s="7" t="s">
        <v>29</v>
      </c>
      <c r="J70" s="7" t="s">
        <v>30</v>
      </c>
      <c r="K70" s="7" t="str">
        <f>CONCATENATE("")</f>
        <v/>
      </c>
      <c r="L70" s="7" t="str">
        <f>CONCATENATE("11 11.2 4b")</f>
        <v>11 11.2 4b</v>
      </c>
      <c r="M70" s="7" t="str">
        <f>CONCATENATE("00811080431")</f>
        <v>00811080431</v>
      </c>
      <c r="N70" s="7" t="s">
        <v>155</v>
      </c>
      <c r="O70" s="7" t="s">
        <v>149</v>
      </c>
      <c r="P70" s="8">
        <v>44361</v>
      </c>
      <c r="Q70" s="7" t="s">
        <v>31</v>
      </c>
      <c r="R70" s="7" t="s">
        <v>32</v>
      </c>
      <c r="S70" s="7" t="s">
        <v>33</v>
      </c>
      <c r="T70" s="7"/>
      <c r="U70" s="7" t="s">
        <v>34</v>
      </c>
      <c r="V70" s="9">
        <v>13283.04</v>
      </c>
      <c r="W70" s="9">
        <v>5727.65</v>
      </c>
      <c r="X70" s="9">
        <v>5289.31</v>
      </c>
      <c r="Y70" s="7">
        <v>0</v>
      </c>
      <c r="Z70" s="9">
        <v>2266.08</v>
      </c>
    </row>
    <row r="71" spans="1:26" x14ac:dyDescent="0.35">
      <c r="A71" s="7" t="s">
        <v>27</v>
      </c>
      <c r="B71" s="7" t="s">
        <v>28</v>
      </c>
      <c r="C71" s="7" t="s">
        <v>45</v>
      </c>
      <c r="D71" s="7" t="s">
        <v>57</v>
      </c>
      <c r="E71" s="7" t="s">
        <v>35</v>
      </c>
      <c r="F71" s="7" t="s">
        <v>156</v>
      </c>
      <c r="G71" s="7">
        <v>2020</v>
      </c>
      <c r="H71" s="7" t="str">
        <f>CONCATENATE("04240875767")</f>
        <v>04240875767</v>
      </c>
      <c r="I71" s="7" t="s">
        <v>29</v>
      </c>
      <c r="J71" s="7" t="s">
        <v>30</v>
      </c>
      <c r="K71" s="7" t="str">
        <f>CONCATENATE("")</f>
        <v/>
      </c>
      <c r="L71" s="7" t="str">
        <f>CONCATENATE("11 11.1 4b")</f>
        <v>11 11.1 4b</v>
      </c>
      <c r="M71" s="7" t="str">
        <f>CONCATENATE("PLMBHS62R03A895L")</f>
        <v>PLMBHS62R03A895L</v>
      </c>
      <c r="N71" s="7" t="s">
        <v>157</v>
      </c>
      <c r="O71" s="7" t="s">
        <v>149</v>
      </c>
      <c r="P71" s="8">
        <v>44361</v>
      </c>
      <c r="Q71" s="7" t="s">
        <v>31</v>
      </c>
      <c r="R71" s="7" t="s">
        <v>32</v>
      </c>
      <c r="S71" s="7" t="s">
        <v>33</v>
      </c>
      <c r="T71" s="7"/>
      <c r="U71" s="7" t="s">
        <v>34</v>
      </c>
      <c r="V71" s="9">
        <v>18331.27</v>
      </c>
      <c r="W71" s="9">
        <v>7904.44</v>
      </c>
      <c r="X71" s="9">
        <v>7299.51</v>
      </c>
      <c r="Y71" s="7">
        <v>0</v>
      </c>
      <c r="Z71" s="9">
        <v>3127.32</v>
      </c>
    </row>
    <row r="72" spans="1:26" ht="17.5" x14ac:dyDescent="0.35">
      <c r="A72" s="7" t="s">
        <v>27</v>
      </c>
      <c r="B72" s="7" t="s">
        <v>28</v>
      </c>
      <c r="C72" s="7" t="s">
        <v>45</v>
      </c>
      <c r="D72" s="7" t="s">
        <v>57</v>
      </c>
      <c r="E72" s="7" t="s">
        <v>35</v>
      </c>
      <c r="F72" s="7" t="s">
        <v>81</v>
      </c>
      <c r="G72" s="7">
        <v>2020</v>
      </c>
      <c r="H72" s="7" t="str">
        <f>CONCATENATE("04240229569")</f>
        <v>04240229569</v>
      </c>
      <c r="I72" s="7" t="s">
        <v>29</v>
      </c>
      <c r="J72" s="7" t="s">
        <v>30</v>
      </c>
      <c r="K72" s="7" t="str">
        <f>CONCATENATE("")</f>
        <v/>
      </c>
      <c r="L72" s="7" t="str">
        <f>CONCATENATE("11 11.1 4b")</f>
        <v>11 11.1 4b</v>
      </c>
      <c r="M72" s="7" t="str">
        <f>CONCATENATE("CRNMNL68B25D749M")</f>
        <v>CRNMNL68B25D749M</v>
      </c>
      <c r="N72" s="7" t="s">
        <v>158</v>
      </c>
      <c r="O72" s="7" t="s">
        <v>149</v>
      </c>
      <c r="P72" s="8">
        <v>44361</v>
      </c>
      <c r="Q72" s="7" t="s">
        <v>31</v>
      </c>
      <c r="R72" s="7" t="s">
        <v>32</v>
      </c>
      <c r="S72" s="7" t="s">
        <v>33</v>
      </c>
      <c r="T72" s="7"/>
      <c r="U72" s="7" t="s">
        <v>34</v>
      </c>
      <c r="V72" s="7">
        <v>409</v>
      </c>
      <c r="W72" s="7">
        <v>176.36</v>
      </c>
      <c r="X72" s="7">
        <v>162.86000000000001</v>
      </c>
      <c r="Y72" s="7">
        <v>0</v>
      </c>
      <c r="Z72" s="7">
        <v>69.78</v>
      </c>
    </row>
    <row r="73" spans="1:26" x14ac:dyDescent="0.35">
      <c r="A73" s="7" t="s">
        <v>27</v>
      </c>
      <c r="B73" s="7" t="s">
        <v>28</v>
      </c>
      <c r="C73" s="7" t="s">
        <v>45</v>
      </c>
      <c r="D73" s="7" t="s">
        <v>61</v>
      </c>
      <c r="E73" s="7" t="s">
        <v>35</v>
      </c>
      <c r="F73" s="7" t="s">
        <v>69</v>
      </c>
      <c r="G73" s="7">
        <v>2020</v>
      </c>
      <c r="H73" s="7" t="str">
        <f>CONCATENATE("04240116485")</f>
        <v>04240116485</v>
      </c>
      <c r="I73" s="7" t="s">
        <v>29</v>
      </c>
      <c r="J73" s="7" t="s">
        <v>30</v>
      </c>
      <c r="K73" s="7" t="str">
        <f>CONCATENATE("")</f>
        <v/>
      </c>
      <c r="L73" s="7" t="str">
        <f>CONCATENATE("11 11.2 4b")</f>
        <v>11 11.2 4b</v>
      </c>
      <c r="M73" s="7" t="str">
        <f>CONCATENATE("01789960430")</f>
        <v>01789960430</v>
      </c>
      <c r="N73" s="7" t="s">
        <v>159</v>
      </c>
      <c r="O73" s="7" t="s">
        <v>149</v>
      </c>
      <c r="P73" s="8">
        <v>44361</v>
      </c>
      <c r="Q73" s="7" t="s">
        <v>31</v>
      </c>
      <c r="R73" s="7" t="s">
        <v>32</v>
      </c>
      <c r="S73" s="7" t="s">
        <v>33</v>
      </c>
      <c r="T73" s="7"/>
      <c r="U73" s="7" t="s">
        <v>34</v>
      </c>
      <c r="V73" s="7">
        <v>734.51</v>
      </c>
      <c r="W73" s="7">
        <v>316.72000000000003</v>
      </c>
      <c r="X73" s="7">
        <v>292.48</v>
      </c>
      <c r="Y73" s="7">
        <v>0</v>
      </c>
      <c r="Z73" s="7">
        <v>125.31</v>
      </c>
    </row>
    <row r="74" spans="1:26" x14ac:dyDescent="0.35">
      <c r="A74" s="7" t="s">
        <v>27</v>
      </c>
      <c r="B74" s="7" t="s">
        <v>28</v>
      </c>
      <c r="C74" s="7" t="s">
        <v>45</v>
      </c>
      <c r="D74" s="7" t="s">
        <v>61</v>
      </c>
      <c r="E74" s="7" t="s">
        <v>35</v>
      </c>
      <c r="F74" s="7" t="s">
        <v>160</v>
      </c>
      <c r="G74" s="7">
        <v>2020</v>
      </c>
      <c r="H74" s="7" t="str">
        <f>CONCATENATE("04241003203")</f>
        <v>04241003203</v>
      </c>
      <c r="I74" s="7" t="s">
        <v>40</v>
      </c>
      <c r="J74" s="7" t="s">
        <v>30</v>
      </c>
      <c r="K74" s="7" t="str">
        <f>CONCATENATE("")</f>
        <v/>
      </c>
      <c r="L74" s="7" t="str">
        <f>CONCATENATE("11 11.2 4b")</f>
        <v>11 11.2 4b</v>
      </c>
      <c r="M74" s="7" t="str">
        <f>CONCATENATE("PRFMRS49P67B562K")</f>
        <v>PRFMRS49P67B562K</v>
      </c>
      <c r="N74" s="7" t="s">
        <v>161</v>
      </c>
      <c r="O74" s="7" t="s">
        <v>149</v>
      </c>
      <c r="P74" s="8">
        <v>44361</v>
      </c>
      <c r="Q74" s="7" t="s">
        <v>31</v>
      </c>
      <c r="R74" s="7" t="s">
        <v>32</v>
      </c>
      <c r="S74" s="7" t="s">
        <v>33</v>
      </c>
      <c r="T74" s="7"/>
      <c r="U74" s="7" t="s">
        <v>34</v>
      </c>
      <c r="V74" s="7">
        <v>995.26</v>
      </c>
      <c r="W74" s="7">
        <v>429.16</v>
      </c>
      <c r="X74" s="7">
        <v>396.31</v>
      </c>
      <c r="Y74" s="7">
        <v>0</v>
      </c>
      <c r="Z74" s="7">
        <v>169.79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CB0FF-D29E-4E5A-B298-B92AD2C3A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608F28-DA29-4B7A-BA77-511F2D234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DB912-6BF1-4372-8FE7-3D1E5619258D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32095</vt:lpwstr>
  </property>
  <property fmtid="{D5CDD505-2E9C-101B-9397-08002B2CF9AE}" pid="4" name="OptimizationTime">
    <vt:lpwstr>20210623_1927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2021-06-21T16:21:33Z</dcterms:created>
  <dcterms:modified xsi:type="dcterms:W3CDTF">2021-06-21T16:22:16Z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