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33\"/>
    </mc:Choice>
  </mc:AlternateContent>
  <xr:revisionPtr revIDLastSave="0" documentId="8_{AC49B70F-22D2-4F71-A4BF-26ECB587BC7C}" xr6:coauthVersionLast="45" xr6:coauthVersionMax="45" xr10:uidLastSave="{00000000-0000-0000-0000-000000000000}"/>
  <bookViews>
    <workbookView xWindow="-120" yWindow="-120" windowWidth="20730" windowHeight="11160" xr2:uid="{240AE9A5-CAC4-4421-8E1C-2885C1824935}"/>
  </bookViews>
  <sheets>
    <sheet name="Dettaglio_Domande_Pagabili_AGEA" sheetId="1" r:id="rId1"/>
  </sheets>
  <definedNames>
    <definedName name="_xlnm._FilterDatabase" localSheetId="0" hidden="1">Dettaglio_Domande_Pagabili_AGEA!$A$4:$Z$94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4" i="1" l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<sst xmlns="http://schemas.openxmlformats.org/spreadsheetml/2006/main" count="1301" uniqueCount="186">
  <si>
    <t>Dettaglio Domande Pagabili Decreto 433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</si>
  <si>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</si>
  <si>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</si>
  <si>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</si>
  <si>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</si>
  <si>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</si>
  <si>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</si>
  <si>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</si>
  <si>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</si>
  <si>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</si>
  <si>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</si>
  <si>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</si>
  <si>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</si>
  <si>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</si>
  <si>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</si>
  <si>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</si>
  <si>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</si>
  <si>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</si>
  <si>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</si>
  <si>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</si>
  <si>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</si>
  <si>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</si>
  <si>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</si>
  <si>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</si>
  <si>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</si>
  <si>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</si>
  <si>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</si>
  <si>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</si>
  <si>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</si>
  <si>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</si>
  <si>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NO</t>
  </si>
  <si>
    <t>Nuova Programmazione</t>
  </si>
  <si>
    <t>In Liquidazione</t>
  </si>
  <si>
    <t>Saldo</t>
  </si>
  <si>
    <t>Co-Finanziato</t>
  </si>
  <si>
    <t>Ordinario</t>
  </si>
  <si>
    <t>Misure Strutturali</t>
  </si>
  <si>
    <t>CAA Confagricoltura srl</t>
  </si>
  <si>
    <t>CAA Coldiretti srl</t>
  </si>
  <si>
    <t>CAA-CAF AGRI S.R.L.</t>
  </si>
  <si>
    <t>CAA UNICAA srl</t>
  </si>
  <si>
    <t>IN PROPRIO</t>
  </si>
  <si>
    <t>SI</t>
  </si>
  <si>
    <t>CAA LiberiAgricoltori srl già CAA AGCI srl</t>
  </si>
  <si>
    <t>SAL</t>
  </si>
  <si>
    <t>Trascinamenti</t>
  </si>
  <si>
    <t>CAA Coldiretti - VITERBO - 007</t>
  </si>
  <si>
    <t>MARCHE</t>
  </si>
  <si>
    <t>SERV. DEC. AGRICOLTURA E ALIM. - MACERATA</t>
  </si>
  <si>
    <t>CAA Coldiretti - MACERATA - 017</t>
  </si>
  <si>
    <t>CAMPETELLA ILARIA</t>
  </si>
  <si>
    <t>AGEA.ASR.2021.0101652</t>
  </si>
  <si>
    <t>SOCIETA' AGRICOLA GIROLAMI STEFANIA E SONIA S.S.</t>
  </si>
  <si>
    <t>SERV. DEC. AGRICOLTURA E ALIMENTAZIONE - ANCONA</t>
  </si>
  <si>
    <t>CAA CIA - ANCONA - 005</t>
  </si>
  <si>
    <t>PRIORI ANDREA</t>
  </si>
  <si>
    <t>AGEA.ASR.2021.0071384</t>
  </si>
  <si>
    <t>GIOMBI ARCANGELO</t>
  </si>
  <si>
    <t>CAA Coldiretti - ANCONA - 006</t>
  </si>
  <si>
    <t>ROSSI FOSCO MARIA</t>
  </si>
  <si>
    <t>CAA Confagricoltura - ANCONA - 001</t>
  </si>
  <si>
    <t>BELARDINELLI ROBERTA</t>
  </si>
  <si>
    <t>CAA Coldiretti - MACERATA - 018</t>
  </si>
  <si>
    <t>GIULIODORI GIULIANO</t>
  </si>
  <si>
    <t>CAA Coldiretti - ANCONA - 005</t>
  </si>
  <si>
    <t>CHIAVARINI ROMANO</t>
  </si>
  <si>
    <t>CARLETTI SERGIO</t>
  </si>
  <si>
    <t>CAA Coldiretti - ANCONA - 008</t>
  </si>
  <si>
    <t>FERMANI FABIO</t>
  </si>
  <si>
    <t>CAA LiberiAgricoltori - MACERATA - 001</t>
  </si>
  <si>
    <t>LA TERRA DI GIO.VA. SOCIETA' AGRICOLA SOCIETA' SEMPLICE</t>
  </si>
  <si>
    <t>AGEA.ASR.2021.0083889</t>
  </si>
  <si>
    <t>CAA Confagricoltura - MACERATA - 001</t>
  </si>
  <si>
    <t>SOCIETA' AGRICOLA DI DI PIETRANTONIO A. E C. S.S.</t>
  </si>
  <si>
    <t>IMPECORA ALESSANDRO</t>
  </si>
  <si>
    <t>CAA Coldiretti - MACERATA - 009</t>
  </si>
  <si>
    <t>SINCINI MAURO</t>
  </si>
  <si>
    <t>SOCIETA' AGRICOLA VAGNI ADOLFO E C. S.S.</t>
  </si>
  <si>
    <t>CAA Coldiretti - MACERATA - 007</t>
  </si>
  <si>
    <t>CESARI FORTUNATO</t>
  </si>
  <si>
    <t>BONAVENTURA RACHELE</t>
  </si>
  <si>
    <t>AGEA.ASR.2021.0101683</t>
  </si>
  <si>
    <t>PAZZAGLINI PAOLO</t>
  </si>
  <si>
    <t>SBARDELLATI LAMBERTO</t>
  </si>
  <si>
    <t>SERV. DEC. AGRICOLTURA E ALIM. -ASCOLI PICENO</t>
  </si>
  <si>
    <t>INFORMAZIONE SOCIETA' A RESPONSABILITA' LIMITATA</t>
  </si>
  <si>
    <t>AGEA.ASR.2021.0219018</t>
  </si>
  <si>
    <t>LA BIOLOGICA SOCIETA' COOPERATIVA AGRICOLA</t>
  </si>
  <si>
    <t>AGEA.ASR.2021.0099924</t>
  </si>
  <si>
    <t>CAA Coldiretti - ANCONA - 002</t>
  </si>
  <si>
    <t>SOCIETA' AGRICOLA GIOIA S.S.</t>
  </si>
  <si>
    <t>AGEA.ASR.2020.1850016</t>
  </si>
  <si>
    <t>CAA Coldiretti - MACERATA - 010</t>
  </si>
  <si>
    <t>VISSANI FAUSTO</t>
  </si>
  <si>
    <t>AGEA.ASR.2021.0071346</t>
  </si>
  <si>
    <t>VIOLINI SESTILIO</t>
  </si>
  <si>
    <t>CICCARELLI GIORGIO</t>
  </si>
  <si>
    <t>TORRESI ENRICO</t>
  </si>
  <si>
    <t>COMPAGNONI GIANLUIGI</t>
  </si>
  <si>
    <t>CAA UNICAA - MACERATA - 002</t>
  </si>
  <si>
    <t>APPIGNANESI JURI</t>
  </si>
  <si>
    <t>CAA CAF AGRI - MACERATA - 224</t>
  </si>
  <si>
    <t>BARTOLINI DESIDERIO</t>
  </si>
  <si>
    <t>CARIOLI FULVIA</t>
  </si>
  <si>
    <t>CAMBERTONI ENRICO</t>
  </si>
  <si>
    <t>CENSORI ROSANNA</t>
  </si>
  <si>
    <t>CAA CIA - MACERATA - 001</t>
  </si>
  <si>
    <t>AZIENDA MENATTA SOC. AGR. SEMPLICE</t>
  </si>
  <si>
    <t>BUSCIONOVI PIERINO</t>
  </si>
  <si>
    <t>CRUCIANI CESARE</t>
  </si>
  <si>
    <t>BARTOLINI ENRICO</t>
  </si>
  <si>
    <t>FRANCIONI MARIO</t>
  </si>
  <si>
    <t>BALZI CLAUDIO</t>
  </si>
  <si>
    <t>CARANTI GIUSEPPE</t>
  </si>
  <si>
    <t>CAA CIA - ANCONA - 004</t>
  </si>
  <si>
    <t>PESARESI ELIO</t>
  </si>
  <si>
    <t>AGEA.ASR.2020.1859033</t>
  </si>
  <si>
    <t>GASTREGHINI S.R.L.</t>
  </si>
  <si>
    <t>AGEA.ASR.2021.0098382</t>
  </si>
  <si>
    <t>CAA CIA - ANCONA - 006</t>
  </si>
  <si>
    <t>RINCI SRL</t>
  </si>
  <si>
    <t>MENCARONI FEDERICO</t>
  </si>
  <si>
    <t>CAA CAF AGRI - ANCONA - 225</t>
  </si>
  <si>
    <t>SPURI MARIA</t>
  </si>
  <si>
    <t>CAA Coldiretti - ANCONA - 003</t>
  </si>
  <si>
    <t>ROTOLONI IDA MARIA</t>
  </si>
  <si>
    <t>MONASTERO SAN SILVESTRO ABATE</t>
  </si>
  <si>
    <t>PAOLUCCI MARIA</t>
  </si>
  <si>
    <t>SOCIETA' AGRICOLA CAMPO DI BOVE DI CAMILLETTI ENRICA - S.N.C.</t>
  </si>
  <si>
    <t>PUGNALONI CRISTINA</t>
  </si>
  <si>
    <t>RAMINI ISABELLA</t>
  </si>
  <si>
    <t>CAA CAF AGRI - ANCONA - 221</t>
  </si>
  <si>
    <t>RADONI IVANA</t>
  </si>
  <si>
    <t>SABBATINI STEFANIA</t>
  </si>
  <si>
    <t>SOCIETA' AGRICOLA TTA S.A.S. MARTINANGELI PACIFICO DI MARTINANGELI MAS</t>
  </si>
  <si>
    <t>MOSCONI MARIA</t>
  </si>
  <si>
    <t>BERLUTI MATTEO</t>
  </si>
  <si>
    <t>TOGNI GIOVANNI</t>
  </si>
  <si>
    <t>BIAGIOLI VITTORINO</t>
  </si>
  <si>
    <t>PAPINI ANTONELLO</t>
  </si>
  <si>
    <t>CAA CAF AGRI - ANCONA - 224</t>
  </si>
  <si>
    <t>SQUADRONI MARIA</t>
  </si>
  <si>
    <t>CAA Coldiretti - ANCONA - 004</t>
  </si>
  <si>
    <t>PARROCCHIA SAN GREGORIO MAGNO -PIANELLO DI OSTRA</t>
  </si>
  <si>
    <t>MONTESI ANNA ROSA</t>
  </si>
  <si>
    <t>SINIGAGLIA ANNA</t>
  </si>
  <si>
    <t>PESARESI LUCA</t>
  </si>
  <si>
    <t>AGEA.ASR.2021.0075915</t>
  </si>
  <si>
    <t>UNIONE MONTANA POTENZA ESINO MUSONE</t>
  </si>
  <si>
    <t>AGEA.ASR.2021.0219032</t>
  </si>
  <si>
    <t>COMUNE DI MONTEGIORGIO</t>
  </si>
  <si>
    <t>AGEA.ASR.2021.0103882</t>
  </si>
  <si>
    <t>SANTONI FRANCESCA</t>
  </si>
  <si>
    <t>AGEA.ASR.2021.0101709</t>
  </si>
  <si>
    <t>CAA Copagri srl</t>
  </si>
  <si>
    <t>CAA Copagri - ANCONA - 505</t>
  </si>
  <si>
    <t>SAGRATI PATRIZIA</t>
  </si>
  <si>
    <t>AGEA.ASR.2021.0071395</t>
  </si>
  <si>
    <t>TENUTE PIERALISI SOCIETA' A RESPONSABILITA' LIMITATA SOCIETA' AGR ICOL</t>
  </si>
  <si>
    <t>JERA SRL SOCIETA AGRICOLA</t>
  </si>
  <si>
    <t>BRAMATI RITA</t>
  </si>
  <si>
    <t>SERV. DEC. AGRICOLTURA E ALIMENTAZIONE - PESARO</t>
  </si>
  <si>
    <t>CAA UNICAA - PESARO E URBINO - 003</t>
  </si>
  <si>
    <t>BLASI FLORETTA</t>
  </si>
  <si>
    <t>AGEA.ASR.2021.0071349</t>
  </si>
  <si>
    <t>SOCIETA' AGRICOLA RIVELLI SOCIETA' SEMPLICE</t>
  </si>
  <si>
    <t>CAIROLA FLAVIO</t>
  </si>
  <si>
    <t>MONTICELLI ODA</t>
  </si>
  <si>
    <t>CUTOLO CARLO</t>
  </si>
  <si>
    <t>CAA CAF AGRI - MACERATA - 226</t>
  </si>
  <si>
    <t>POPOV IGOR</t>
  </si>
  <si>
    <t>AGEA.ASR.2021.0071365</t>
  </si>
  <si>
    <t>SOC.AGR.VILLA LE CASE DI ARNAUTOVICI C.</t>
  </si>
  <si>
    <t>FRANCIA STEFANO</t>
  </si>
  <si>
    <t>CAA CIA - PESARO E URBINO - 007</t>
  </si>
  <si>
    <t>CASAGRANDE ROLANDO</t>
  </si>
  <si>
    <t>CONTI VIRGILIO</t>
  </si>
  <si>
    <t>PELONI COSTANTINO</t>
  </si>
  <si>
    <t>CAA LiberiAgricoltori - PESARO E URBINO - 002</t>
  </si>
  <si>
    <t>SOCIETA' AGRICOLA COLLEVERDE S.S. DI TONTINI FRANCESCO &amp; C.</t>
  </si>
  <si>
    <t>CAA Coldiretti - PESARO E URBINO - 004</t>
  </si>
  <si>
    <t>SOCIETA' AGRICOLA MATTEI GIOVANNI &amp; MATTEO S.S.</t>
  </si>
  <si>
    <t>CAA CIA - PESARO E URBINO - 005</t>
  </si>
  <si>
    <t>VALENTINI GIANCARLO</t>
  </si>
  <si>
    <t>CAA LiberiAgricoltori - MACERATA - 002</t>
  </si>
  <si>
    <t>BARBONI FABIO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</si>
</sst>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440F-9D4A-4096-9D02-826EE0E14B14}">
  <dimension ref="A1:Z94"/>
  <sheetViews>
    <sheetView showGridLines="0" tabSelected="1" workbookViewId="0">
      <selection activeCell="E98" sqref="E98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21.5703125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25.7109375" bestFit="1" customWidth="1"/>
    <col min="22" max="22" width="18.42578125" bestFit="1" customWidth="1"/>
    <col min="23" max="23" width="24.5703125" bestFit="1" customWidth="1"/>
    <col min="24" max="25" width="27.140625" bestFit="1" customWidth="1"/>
    <col min="26" max="26" width="33.85546875" bestFit="1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25">
      <c r="A4" s="7" t="s">
        <v>27</v>
      </c>
      <c r="B4" s="7" t="s">
        <v>36</v>
      </c>
      <c r="C4" s="7" t="s">
        <v>47</v>
      </c>
      <c r="D4" s="7" t="s">
        <v>48</v>
      </c>
      <c r="E4" s="7" t="s">
        <v>38</v>
      </c>
      <c r="F4" s="7" t="s">
        <v>49</v>
      </c>
      <c r="G4" s="7">
        <v>2017</v>
      </c>
      <c r="H4" s="7" t="str">
        <f>CONCATENATE("04270232103")</f>
        <v>04270232103</v>
      </c>
      <c r="I4" s="7" t="s">
        <v>30</v>
      </c>
      <c r="J4" s="7" t="s">
        <v>31</v>
      </c>
      <c r="K4" s="7" t="str">
        <f>CONCATENATE("")</f>
        <v/>
      </c>
      <c r="L4" s="7" t="str">
        <f>CONCATENATE("4 4.4 4c")</f>
        <v>4 4.4 4c</v>
      </c>
      <c r="M4" s="7" t="str">
        <f>CONCATENATE("CMPLRI86A52I156H")</f>
        <v>CMPLRI86A52I156H</v>
      </c>
      <c r="N4" s="7" t="s">
        <v>50</v>
      </c>
      <c r="O4" s="7" t="s">
        <v>51</v>
      </c>
      <c r="P4" s="8">
        <v>44238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3105</v>
      </c>
      <c r="W4" s="9">
        <v>1338.88</v>
      </c>
      <c r="X4" s="9">
        <v>1236.4100000000001</v>
      </c>
      <c r="Y4" s="7">
        <v>0</v>
      </c>
      <c r="Z4" s="7">
        <v>529.71</v>
      </c>
    </row>
    <row r="5" spans="1:26" ht="24.75" x14ac:dyDescent="0.25">
      <c r="A5" s="7" t="s">
        <v>27</v>
      </c>
      <c r="B5" s="7" t="s">
        <v>36</v>
      </c>
      <c r="C5" s="7" t="s">
        <v>47</v>
      </c>
      <c r="D5" s="7" t="s">
        <v>48</v>
      </c>
      <c r="E5" s="7" t="s">
        <v>38</v>
      </c>
      <c r="F5" s="7" t="s">
        <v>49</v>
      </c>
      <c r="G5" s="7">
        <v>2017</v>
      </c>
      <c r="H5" s="7" t="str">
        <f>CONCATENATE("04270232111")</f>
        <v>04270232111</v>
      </c>
      <c r="I5" s="7" t="s">
        <v>30</v>
      </c>
      <c r="J5" s="7" t="s">
        <v>31</v>
      </c>
      <c r="K5" s="7" t="str">
        <f>CONCATENATE("")</f>
        <v/>
      </c>
      <c r="L5" s="7" t="str">
        <f>CONCATENATE("4 4.4 4c")</f>
        <v>4 4.4 4c</v>
      </c>
      <c r="M5" s="7" t="str">
        <f>CONCATENATE("01297880435")</f>
        <v>01297880435</v>
      </c>
      <c r="N5" s="7" t="s">
        <v>52</v>
      </c>
      <c r="O5" s="7" t="s">
        <v>51</v>
      </c>
      <c r="P5" s="8">
        <v>44238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3510</v>
      </c>
      <c r="W5" s="9">
        <v>1513.51</v>
      </c>
      <c r="X5" s="9">
        <v>1397.68</v>
      </c>
      <c r="Y5" s="7">
        <v>0</v>
      </c>
      <c r="Z5" s="7">
        <v>598.80999999999995</v>
      </c>
    </row>
    <row r="6" spans="1:26" ht="24.75" x14ac:dyDescent="0.25">
      <c r="A6" s="7" t="s">
        <v>27</v>
      </c>
      <c r="B6" s="7" t="s">
        <v>28</v>
      </c>
      <c r="C6" s="7" t="s">
        <v>47</v>
      </c>
      <c r="D6" s="7" t="s">
        <v>53</v>
      </c>
      <c r="E6" s="7" t="s">
        <v>29</v>
      </c>
      <c r="F6" s="7" t="s">
        <v>54</v>
      </c>
      <c r="G6" s="7">
        <v>2015</v>
      </c>
      <c r="H6" s="7" t="str">
        <f>CONCATENATE("54735022318")</f>
        <v>54735022318</v>
      </c>
      <c r="I6" s="7" t="s">
        <v>30</v>
      </c>
      <c r="J6" s="7" t="s">
        <v>45</v>
      </c>
      <c r="K6" s="7" t="str">
        <f>CONCATENATE("221")</f>
        <v>221</v>
      </c>
      <c r="L6" s="7" t="str">
        <f>CONCATENATE("8 8.1 5e")</f>
        <v>8 8.1 5e</v>
      </c>
      <c r="M6" s="7" t="str">
        <f>CONCATENATE("PRRNDR86B03E388F")</f>
        <v>PRRNDR86B03E388F</v>
      </c>
      <c r="N6" s="7" t="s">
        <v>55</v>
      </c>
      <c r="O6" s="7" t="s">
        <v>56</v>
      </c>
      <c r="P6" s="8">
        <v>44243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7">
        <v>295.19</v>
      </c>
      <c r="W6" s="7">
        <v>127.29</v>
      </c>
      <c r="X6" s="7">
        <v>117.54</v>
      </c>
      <c r="Y6" s="7">
        <v>0</v>
      </c>
      <c r="Z6" s="7">
        <v>50.36</v>
      </c>
    </row>
    <row r="7" spans="1:26" ht="24.75" x14ac:dyDescent="0.25">
      <c r="A7" s="7" t="s">
        <v>27</v>
      </c>
      <c r="B7" s="7" t="s">
        <v>28</v>
      </c>
      <c r="C7" s="7" t="s">
        <v>47</v>
      </c>
      <c r="D7" s="7" t="s">
        <v>53</v>
      </c>
      <c r="E7" s="7" t="s">
        <v>29</v>
      </c>
      <c r="F7" s="7" t="s">
        <v>54</v>
      </c>
      <c r="G7" s="7">
        <v>2015</v>
      </c>
      <c r="H7" s="7" t="str">
        <f>CONCATENATE("54735038231")</f>
        <v>54735038231</v>
      </c>
      <c r="I7" s="7" t="s">
        <v>42</v>
      </c>
      <c r="J7" s="7" t="s">
        <v>45</v>
      </c>
      <c r="K7" s="7" t="str">
        <f>CONCATENATE("221")</f>
        <v>221</v>
      </c>
      <c r="L7" s="7" t="str">
        <f>CONCATENATE("8 8.1 5e")</f>
        <v>8 8.1 5e</v>
      </c>
      <c r="M7" s="7" t="str">
        <f>CONCATENATE("GMBRNG54D02A366X")</f>
        <v>GMBRNG54D02A366X</v>
      </c>
      <c r="N7" s="7" t="s">
        <v>57</v>
      </c>
      <c r="O7" s="7" t="s">
        <v>56</v>
      </c>
      <c r="P7" s="8">
        <v>44243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7">
        <v>972</v>
      </c>
      <c r="W7" s="7">
        <v>419.13</v>
      </c>
      <c r="X7" s="7">
        <v>387.05</v>
      </c>
      <c r="Y7" s="7">
        <v>0</v>
      </c>
      <c r="Z7" s="7">
        <v>165.82</v>
      </c>
    </row>
    <row r="8" spans="1:26" ht="24.75" x14ac:dyDescent="0.25">
      <c r="A8" s="7" t="s">
        <v>27</v>
      </c>
      <c r="B8" s="7" t="s">
        <v>28</v>
      </c>
      <c r="C8" s="7" t="s">
        <v>47</v>
      </c>
      <c r="D8" s="7" t="s">
        <v>53</v>
      </c>
      <c r="E8" s="7" t="s">
        <v>38</v>
      </c>
      <c r="F8" s="7" t="s">
        <v>58</v>
      </c>
      <c r="G8" s="7">
        <v>2015</v>
      </c>
      <c r="H8" s="7" t="str">
        <f>CONCATENATE("54735049550")</f>
        <v>54735049550</v>
      </c>
      <c r="I8" s="7" t="s">
        <v>30</v>
      </c>
      <c r="J8" s="7" t="s">
        <v>45</v>
      </c>
      <c r="K8" s="7" t="str">
        <f>CONCATENATE("221")</f>
        <v>221</v>
      </c>
      <c r="L8" s="7" t="str">
        <f>CONCATENATE("8 8.1 5e")</f>
        <v>8 8.1 5e</v>
      </c>
      <c r="M8" s="7" t="str">
        <f>CONCATENATE("RSSFCM85H28E388E")</f>
        <v>RSSFCM85H28E388E</v>
      </c>
      <c r="N8" s="7" t="s">
        <v>59</v>
      </c>
      <c r="O8" s="7" t="s">
        <v>56</v>
      </c>
      <c r="P8" s="8">
        <v>44243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7">
        <v>181.1</v>
      </c>
      <c r="W8" s="7">
        <v>78.09</v>
      </c>
      <c r="X8" s="7">
        <v>72.11</v>
      </c>
      <c r="Y8" s="7">
        <v>0</v>
      </c>
      <c r="Z8" s="7">
        <v>30.9</v>
      </c>
    </row>
    <row r="9" spans="1:26" ht="24.75" x14ac:dyDescent="0.25">
      <c r="A9" s="7" t="s">
        <v>27</v>
      </c>
      <c r="B9" s="7" t="s">
        <v>28</v>
      </c>
      <c r="C9" s="7" t="s">
        <v>47</v>
      </c>
      <c r="D9" s="7" t="s">
        <v>53</v>
      </c>
      <c r="E9" s="7" t="s">
        <v>37</v>
      </c>
      <c r="F9" s="7" t="s">
        <v>60</v>
      </c>
      <c r="G9" s="7">
        <v>2015</v>
      </c>
      <c r="H9" s="7" t="str">
        <f>CONCATENATE("54735046259")</f>
        <v>54735046259</v>
      </c>
      <c r="I9" s="7" t="s">
        <v>30</v>
      </c>
      <c r="J9" s="7" t="s">
        <v>45</v>
      </c>
      <c r="K9" s="7" t="str">
        <f>CONCATENATE("221")</f>
        <v>221</v>
      </c>
      <c r="L9" s="7" t="str">
        <f>CONCATENATE("8 8.1 5e")</f>
        <v>8 8.1 5e</v>
      </c>
      <c r="M9" s="7" t="str">
        <f>CONCATENATE("BLRRRT67L52A271H")</f>
        <v>BLRRRT67L52A271H</v>
      </c>
      <c r="N9" s="7" t="s">
        <v>61</v>
      </c>
      <c r="O9" s="7" t="s">
        <v>56</v>
      </c>
      <c r="P9" s="8">
        <v>44243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1708.8</v>
      </c>
      <c r="W9" s="7">
        <v>736.83</v>
      </c>
      <c r="X9" s="7">
        <v>680.44</v>
      </c>
      <c r="Y9" s="7">
        <v>0</v>
      </c>
      <c r="Z9" s="7">
        <v>291.52999999999997</v>
      </c>
    </row>
    <row r="10" spans="1:26" ht="24.75" x14ac:dyDescent="0.25">
      <c r="A10" s="7" t="s">
        <v>27</v>
      </c>
      <c r="B10" s="7" t="s">
        <v>28</v>
      </c>
      <c r="C10" s="7" t="s">
        <v>47</v>
      </c>
      <c r="D10" s="7" t="s">
        <v>53</v>
      </c>
      <c r="E10" s="7" t="s">
        <v>38</v>
      </c>
      <c r="F10" s="7" t="s">
        <v>62</v>
      </c>
      <c r="G10" s="7">
        <v>2015</v>
      </c>
      <c r="H10" s="7" t="str">
        <f>CONCATENATE("54735091438")</f>
        <v>54735091438</v>
      </c>
      <c r="I10" s="7" t="s">
        <v>30</v>
      </c>
      <c r="J10" s="7" t="s">
        <v>45</v>
      </c>
      <c r="K10" s="7" t="str">
        <f>CONCATENATE("221")</f>
        <v>221</v>
      </c>
      <c r="L10" s="7" t="str">
        <f>CONCATENATE("8 8.1 5e")</f>
        <v>8 8.1 5e</v>
      </c>
      <c r="M10" s="7" t="str">
        <f>CONCATENATE("GLDGLN68R27E507K")</f>
        <v>GLDGLN68R27E507K</v>
      </c>
      <c r="N10" s="7" t="s">
        <v>63</v>
      </c>
      <c r="O10" s="7" t="s">
        <v>56</v>
      </c>
      <c r="P10" s="8">
        <v>44243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7">
        <v>356.57</v>
      </c>
      <c r="W10" s="7">
        <v>153.75</v>
      </c>
      <c r="X10" s="7">
        <v>141.99</v>
      </c>
      <c r="Y10" s="7">
        <v>0</v>
      </c>
      <c r="Z10" s="7">
        <v>60.83</v>
      </c>
    </row>
    <row r="11" spans="1:26" ht="24.75" x14ac:dyDescent="0.25">
      <c r="A11" s="7" t="s">
        <v>27</v>
      </c>
      <c r="B11" s="7" t="s">
        <v>28</v>
      </c>
      <c r="C11" s="7" t="s">
        <v>47</v>
      </c>
      <c r="D11" s="7" t="s">
        <v>53</v>
      </c>
      <c r="E11" s="7" t="s">
        <v>38</v>
      </c>
      <c r="F11" s="7" t="s">
        <v>64</v>
      </c>
      <c r="G11" s="7">
        <v>2015</v>
      </c>
      <c r="H11" s="7" t="str">
        <f>CONCATENATE("54735070788")</f>
        <v>54735070788</v>
      </c>
      <c r="I11" s="7" t="s">
        <v>42</v>
      </c>
      <c r="J11" s="7" t="s">
        <v>45</v>
      </c>
      <c r="K11" s="7" t="str">
        <f>CONCATENATE("221")</f>
        <v>221</v>
      </c>
      <c r="L11" s="7" t="str">
        <f>CONCATENATE("8 8.1 5e")</f>
        <v>8 8.1 5e</v>
      </c>
      <c r="M11" s="7" t="str">
        <f>CONCATENATE("CHVRMN51P12I461M")</f>
        <v>CHVRMN51P12I461M</v>
      </c>
      <c r="N11" s="7" t="s">
        <v>65</v>
      </c>
      <c r="O11" s="7" t="s">
        <v>56</v>
      </c>
      <c r="P11" s="8">
        <v>44243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1620.43</v>
      </c>
      <c r="W11" s="7">
        <v>698.73</v>
      </c>
      <c r="X11" s="7">
        <v>645.26</v>
      </c>
      <c r="Y11" s="7">
        <v>0</v>
      </c>
      <c r="Z11" s="7">
        <v>276.44</v>
      </c>
    </row>
    <row r="12" spans="1:26" ht="24.75" x14ac:dyDescent="0.25">
      <c r="A12" s="7" t="s">
        <v>27</v>
      </c>
      <c r="B12" s="7" t="s">
        <v>28</v>
      </c>
      <c r="C12" s="7" t="s">
        <v>47</v>
      </c>
      <c r="D12" s="7" t="s">
        <v>53</v>
      </c>
      <c r="E12" s="7" t="s">
        <v>38</v>
      </c>
      <c r="F12" s="7" t="s">
        <v>64</v>
      </c>
      <c r="G12" s="7">
        <v>2015</v>
      </c>
      <c r="H12" s="7" t="str">
        <f>CONCATENATE("54735066752")</f>
        <v>54735066752</v>
      </c>
      <c r="I12" s="7" t="s">
        <v>42</v>
      </c>
      <c r="J12" s="7" t="s">
        <v>45</v>
      </c>
      <c r="K12" s="7" t="str">
        <f>CONCATENATE("221")</f>
        <v>221</v>
      </c>
      <c r="L12" s="7" t="str">
        <f>CONCATENATE("8 8.1 5e")</f>
        <v>8 8.1 5e</v>
      </c>
      <c r="M12" s="7" t="str">
        <f>CONCATENATE("CRLSRG66P15I461P")</f>
        <v>CRLSRG66P15I461P</v>
      </c>
      <c r="N12" s="7" t="s">
        <v>66</v>
      </c>
      <c r="O12" s="7" t="s">
        <v>56</v>
      </c>
      <c r="P12" s="8">
        <v>44243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7">
        <v>333.68</v>
      </c>
      <c r="W12" s="7">
        <v>143.88</v>
      </c>
      <c r="X12" s="7">
        <v>132.87</v>
      </c>
      <c r="Y12" s="7">
        <v>0</v>
      </c>
      <c r="Z12" s="7">
        <v>56.93</v>
      </c>
    </row>
    <row r="13" spans="1:26" ht="24.75" x14ac:dyDescent="0.25">
      <c r="A13" s="7" t="s">
        <v>27</v>
      </c>
      <c r="B13" s="7" t="s">
        <v>28</v>
      </c>
      <c r="C13" s="7" t="s">
        <v>47</v>
      </c>
      <c r="D13" s="7" t="s">
        <v>53</v>
      </c>
      <c r="E13" s="7" t="s">
        <v>38</v>
      </c>
      <c r="F13" s="7" t="s">
        <v>67</v>
      </c>
      <c r="G13" s="7">
        <v>2015</v>
      </c>
      <c r="H13" s="7" t="str">
        <f>CONCATENATE("54735067560")</f>
        <v>54735067560</v>
      </c>
      <c r="I13" s="7" t="s">
        <v>30</v>
      </c>
      <c r="J13" s="7" t="s">
        <v>45</v>
      </c>
      <c r="K13" s="7" t="str">
        <f>CONCATENATE("221")</f>
        <v>221</v>
      </c>
      <c r="L13" s="7" t="str">
        <f>CONCATENATE("8 8.1 5e")</f>
        <v>8 8.1 5e</v>
      </c>
      <c r="M13" s="7" t="str">
        <f>CONCATENATE("FRMFBA40L13A271I")</f>
        <v>FRMFBA40L13A271I</v>
      </c>
      <c r="N13" s="7" t="s">
        <v>68</v>
      </c>
      <c r="O13" s="7" t="s">
        <v>56</v>
      </c>
      <c r="P13" s="8">
        <v>44243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7">
        <v>298</v>
      </c>
      <c r="W13" s="7">
        <v>128.5</v>
      </c>
      <c r="X13" s="7">
        <v>118.66</v>
      </c>
      <c r="Y13" s="7">
        <v>0</v>
      </c>
      <c r="Z13" s="7">
        <v>50.84</v>
      </c>
    </row>
    <row r="14" spans="1:26" ht="24.75" x14ac:dyDescent="0.25">
      <c r="A14" s="7" t="s">
        <v>27</v>
      </c>
      <c r="B14" s="7" t="s">
        <v>28</v>
      </c>
      <c r="C14" s="7" t="s">
        <v>47</v>
      </c>
      <c r="D14" s="7" t="s">
        <v>48</v>
      </c>
      <c r="E14" s="7" t="s">
        <v>43</v>
      </c>
      <c r="F14" s="7" t="s">
        <v>69</v>
      </c>
      <c r="G14" s="7">
        <v>2020</v>
      </c>
      <c r="H14" s="7" t="str">
        <f>CONCATENATE("04240092165")</f>
        <v>04240092165</v>
      </c>
      <c r="I14" s="7" t="s">
        <v>30</v>
      </c>
      <c r="J14" s="7" t="s">
        <v>31</v>
      </c>
      <c r="K14" s="7" t="str">
        <f>CONCATENATE("")</f>
        <v/>
      </c>
      <c r="L14" s="7" t="str">
        <f>CONCATENATE("14 14.1 3a")</f>
        <v>14 14.1 3a</v>
      </c>
      <c r="M14" s="7" t="str">
        <f>CONCATENATE("02026490439")</f>
        <v>02026490439</v>
      </c>
      <c r="N14" s="7" t="s">
        <v>70</v>
      </c>
      <c r="O14" s="7" t="s">
        <v>71</v>
      </c>
      <c r="P14" s="8">
        <v>44238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2144.34</v>
      </c>
      <c r="W14" s="7">
        <v>924.64</v>
      </c>
      <c r="X14" s="7">
        <v>853.88</v>
      </c>
      <c r="Y14" s="7">
        <v>0</v>
      </c>
      <c r="Z14" s="7">
        <v>365.82</v>
      </c>
    </row>
    <row r="15" spans="1:26" ht="24.75" x14ac:dyDescent="0.25">
      <c r="A15" s="7" t="s">
        <v>27</v>
      </c>
      <c r="B15" s="7" t="s">
        <v>28</v>
      </c>
      <c r="C15" s="7" t="s">
        <v>47</v>
      </c>
      <c r="D15" s="7" t="s">
        <v>48</v>
      </c>
      <c r="E15" s="7" t="s">
        <v>37</v>
      </c>
      <c r="F15" s="7" t="s">
        <v>72</v>
      </c>
      <c r="G15" s="7">
        <v>2020</v>
      </c>
      <c r="H15" s="7" t="str">
        <f>CONCATENATE("04241035973")</f>
        <v>04241035973</v>
      </c>
      <c r="I15" s="7" t="s">
        <v>30</v>
      </c>
      <c r="J15" s="7" t="s">
        <v>31</v>
      </c>
      <c r="K15" s="7" t="str">
        <f>CONCATENATE("")</f>
        <v/>
      </c>
      <c r="L15" s="7" t="str">
        <f>CONCATENATE("14 14.1 3a")</f>
        <v>14 14.1 3a</v>
      </c>
      <c r="M15" s="7" t="str">
        <f>CONCATENATE("01377200439")</f>
        <v>01377200439</v>
      </c>
      <c r="N15" s="7" t="s">
        <v>73</v>
      </c>
      <c r="O15" s="7" t="s">
        <v>71</v>
      </c>
      <c r="P15" s="8">
        <v>44238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7866</v>
      </c>
      <c r="W15" s="9">
        <v>3391.82</v>
      </c>
      <c r="X15" s="9">
        <v>3132.24</v>
      </c>
      <c r="Y15" s="7">
        <v>0</v>
      </c>
      <c r="Z15" s="9">
        <v>1341.94</v>
      </c>
    </row>
    <row r="16" spans="1:26" x14ac:dyDescent="0.25">
      <c r="A16" s="7" t="s">
        <v>27</v>
      </c>
      <c r="B16" s="7" t="s">
        <v>28</v>
      </c>
      <c r="C16" s="7" t="s">
        <v>47</v>
      </c>
      <c r="D16" s="7" t="s">
        <v>48</v>
      </c>
      <c r="E16" s="7" t="s">
        <v>43</v>
      </c>
      <c r="F16" s="7" t="s">
        <v>69</v>
      </c>
      <c r="G16" s="7">
        <v>2020</v>
      </c>
      <c r="H16" s="7" t="str">
        <f>CONCATENATE("04241088790")</f>
        <v>04241088790</v>
      </c>
      <c r="I16" s="7" t="s">
        <v>30</v>
      </c>
      <c r="J16" s="7" t="s">
        <v>31</v>
      </c>
      <c r="K16" s="7" t="str">
        <f>CONCATENATE("")</f>
        <v/>
      </c>
      <c r="L16" s="7" t="str">
        <f>CONCATENATE("14 14.1 3a")</f>
        <v>14 14.1 3a</v>
      </c>
      <c r="M16" s="7" t="str">
        <f>CONCATENATE("MPCLSN97R22E783X")</f>
        <v>MPCLSN97R22E783X</v>
      </c>
      <c r="N16" s="7" t="s">
        <v>74</v>
      </c>
      <c r="O16" s="7" t="s">
        <v>71</v>
      </c>
      <c r="P16" s="8">
        <v>44238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26361.17</v>
      </c>
      <c r="W16" s="9">
        <v>11366.94</v>
      </c>
      <c r="X16" s="9">
        <v>10497.02</v>
      </c>
      <c r="Y16" s="7">
        <v>0</v>
      </c>
      <c r="Z16" s="9">
        <v>4497.21</v>
      </c>
    </row>
    <row r="17" spans="1:26" x14ac:dyDescent="0.25">
      <c r="A17" s="7" t="s">
        <v>27</v>
      </c>
      <c r="B17" s="7" t="s">
        <v>28</v>
      </c>
      <c r="C17" s="7" t="s">
        <v>47</v>
      </c>
      <c r="D17" s="7" t="s">
        <v>48</v>
      </c>
      <c r="E17" s="7" t="s">
        <v>38</v>
      </c>
      <c r="F17" s="7" t="s">
        <v>75</v>
      </c>
      <c r="G17" s="7">
        <v>2020</v>
      </c>
      <c r="H17" s="7" t="str">
        <f>CONCATENATE("04241080318")</f>
        <v>04241080318</v>
      </c>
      <c r="I17" s="7" t="s">
        <v>30</v>
      </c>
      <c r="J17" s="7" t="s">
        <v>31</v>
      </c>
      <c r="K17" s="7" t="str">
        <f>CONCATENATE("")</f>
        <v/>
      </c>
      <c r="L17" s="7" t="str">
        <f>CONCATENATE("14 14.1 3a")</f>
        <v>14 14.1 3a</v>
      </c>
      <c r="M17" s="7" t="str">
        <f>CONCATENATE("SNCMRA82P08L191J")</f>
        <v>SNCMRA82P08L191J</v>
      </c>
      <c r="N17" s="7" t="s">
        <v>76</v>
      </c>
      <c r="O17" s="7" t="s">
        <v>71</v>
      </c>
      <c r="P17" s="8">
        <v>44238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12114.6</v>
      </c>
      <c r="W17" s="9">
        <v>5223.82</v>
      </c>
      <c r="X17" s="9">
        <v>4824.03</v>
      </c>
      <c r="Y17" s="7">
        <v>0</v>
      </c>
      <c r="Z17" s="9">
        <v>2066.75</v>
      </c>
    </row>
    <row r="18" spans="1:26" x14ac:dyDescent="0.25">
      <c r="A18" s="7" t="s">
        <v>27</v>
      </c>
      <c r="B18" s="7" t="s">
        <v>28</v>
      </c>
      <c r="C18" s="7" t="s">
        <v>47</v>
      </c>
      <c r="D18" s="7" t="s">
        <v>48</v>
      </c>
      <c r="E18" s="7" t="s">
        <v>38</v>
      </c>
      <c r="F18" s="7" t="s">
        <v>75</v>
      </c>
      <c r="G18" s="7">
        <v>2020</v>
      </c>
      <c r="H18" s="7" t="str">
        <f>CONCATENATE("04241071556")</f>
        <v>04241071556</v>
      </c>
      <c r="I18" s="7" t="s">
        <v>30</v>
      </c>
      <c r="J18" s="7" t="s">
        <v>31</v>
      </c>
      <c r="K18" s="7" t="str">
        <f>CONCATENATE("")</f>
        <v/>
      </c>
      <c r="L18" s="7" t="str">
        <f>CONCATENATE("14 14.1 3a")</f>
        <v>14 14.1 3a</v>
      </c>
      <c r="M18" s="7" t="str">
        <f>CONCATENATE("01110060439")</f>
        <v>01110060439</v>
      </c>
      <c r="N18" s="7" t="s">
        <v>77</v>
      </c>
      <c r="O18" s="7" t="s">
        <v>71</v>
      </c>
      <c r="P18" s="8">
        <v>44238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11214</v>
      </c>
      <c r="W18" s="9">
        <v>4835.4799999999996</v>
      </c>
      <c r="X18" s="9">
        <v>4465.41</v>
      </c>
      <c r="Y18" s="7">
        <v>0</v>
      </c>
      <c r="Z18" s="9">
        <v>1913.11</v>
      </c>
    </row>
    <row r="19" spans="1:26" x14ac:dyDescent="0.25">
      <c r="A19" s="7" t="s">
        <v>27</v>
      </c>
      <c r="B19" s="7" t="s">
        <v>28</v>
      </c>
      <c r="C19" s="7" t="s">
        <v>47</v>
      </c>
      <c r="D19" s="7" t="s">
        <v>48</v>
      </c>
      <c r="E19" s="7" t="s">
        <v>38</v>
      </c>
      <c r="F19" s="7" t="s">
        <v>78</v>
      </c>
      <c r="G19" s="7">
        <v>2020</v>
      </c>
      <c r="H19" s="7" t="str">
        <f>CONCATENATE("04240142473")</f>
        <v>04240142473</v>
      </c>
      <c r="I19" s="7" t="s">
        <v>30</v>
      </c>
      <c r="J19" s="7" t="s">
        <v>31</v>
      </c>
      <c r="K19" s="7" t="str">
        <f>CONCATENATE("")</f>
        <v/>
      </c>
      <c r="L19" s="7" t="str">
        <f>CONCATENATE("14 14.1 3a")</f>
        <v>14 14.1 3a</v>
      </c>
      <c r="M19" s="7" t="str">
        <f>CONCATENATE("CSRFTN46C01F509S")</f>
        <v>CSRFTN46C01F509S</v>
      </c>
      <c r="N19" s="7" t="s">
        <v>79</v>
      </c>
      <c r="O19" s="7" t="s">
        <v>71</v>
      </c>
      <c r="P19" s="8">
        <v>44238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11080</v>
      </c>
      <c r="W19" s="9">
        <v>4777.7</v>
      </c>
      <c r="X19" s="9">
        <v>4412.0600000000004</v>
      </c>
      <c r="Y19" s="7">
        <v>0</v>
      </c>
      <c r="Z19" s="9">
        <v>1890.24</v>
      </c>
    </row>
    <row r="20" spans="1:26" x14ac:dyDescent="0.25">
      <c r="A20" s="7" t="s">
        <v>27</v>
      </c>
      <c r="B20" s="7" t="s">
        <v>36</v>
      </c>
      <c r="C20" s="7" t="s">
        <v>47</v>
      </c>
      <c r="D20" s="7" t="s">
        <v>48</v>
      </c>
      <c r="E20" s="7" t="s">
        <v>41</v>
      </c>
      <c r="F20" s="7" t="s">
        <v>41</v>
      </c>
      <c r="G20" s="7">
        <v>2017</v>
      </c>
      <c r="H20" s="7" t="str">
        <f>CONCATENATE("04270232046")</f>
        <v>04270232046</v>
      </c>
      <c r="I20" s="7" t="s">
        <v>30</v>
      </c>
      <c r="J20" s="7" t="s">
        <v>31</v>
      </c>
      <c r="K20" s="7" t="str">
        <f>CONCATENATE("")</f>
        <v/>
      </c>
      <c r="L20" s="7" t="str">
        <f>CONCATENATE("4 4.4 4c")</f>
        <v>4 4.4 4c</v>
      </c>
      <c r="M20" s="7" t="str">
        <f>CONCATENATE("BNVRHL95C61D024Q")</f>
        <v>BNVRHL95C61D024Q</v>
      </c>
      <c r="N20" s="7" t="s">
        <v>80</v>
      </c>
      <c r="O20" s="7" t="s">
        <v>81</v>
      </c>
      <c r="P20" s="8">
        <v>44238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17550</v>
      </c>
      <c r="W20" s="9">
        <v>7567.56</v>
      </c>
      <c r="X20" s="9">
        <v>6988.41</v>
      </c>
      <c r="Y20" s="7">
        <v>0</v>
      </c>
      <c r="Z20" s="9">
        <v>2994.03</v>
      </c>
    </row>
    <row r="21" spans="1:26" x14ac:dyDescent="0.25">
      <c r="A21" s="7" t="s">
        <v>27</v>
      </c>
      <c r="B21" s="7" t="s">
        <v>36</v>
      </c>
      <c r="C21" s="7" t="s">
        <v>47</v>
      </c>
      <c r="D21" s="7" t="s">
        <v>48</v>
      </c>
      <c r="E21" s="7" t="s">
        <v>41</v>
      </c>
      <c r="F21" s="7" t="s">
        <v>41</v>
      </c>
      <c r="G21" s="7">
        <v>2017</v>
      </c>
      <c r="H21" s="7" t="str">
        <f>CONCATENATE("04270232061")</f>
        <v>04270232061</v>
      </c>
      <c r="I21" s="7" t="s">
        <v>30</v>
      </c>
      <c r="J21" s="7" t="s">
        <v>31</v>
      </c>
      <c r="K21" s="7" t="str">
        <f>CONCATENATE("")</f>
        <v/>
      </c>
      <c r="L21" s="7" t="str">
        <f>CONCATENATE("4 4.4 4c")</f>
        <v>4 4.4 4c</v>
      </c>
      <c r="M21" s="7" t="str">
        <f>CONCATENATE("PZZPLA69L26B474L")</f>
        <v>PZZPLA69L26B474L</v>
      </c>
      <c r="N21" s="7" t="s">
        <v>82</v>
      </c>
      <c r="O21" s="7" t="s">
        <v>81</v>
      </c>
      <c r="P21" s="8">
        <v>44238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6480</v>
      </c>
      <c r="W21" s="9">
        <v>2794.18</v>
      </c>
      <c r="X21" s="9">
        <v>2580.34</v>
      </c>
      <c r="Y21" s="7">
        <v>0</v>
      </c>
      <c r="Z21" s="9">
        <v>1105.48</v>
      </c>
    </row>
    <row r="22" spans="1:26" x14ac:dyDescent="0.25">
      <c r="A22" s="7" t="s">
        <v>27</v>
      </c>
      <c r="B22" s="7" t="s">
        <v>36</v>
      </c>
      <c r="C22" s="7" t="s">
        <v>47</v>
      </c>
      <c r="D22" s="7" t="s">
        <v>48</v>
      </c>
      <c r="E22" s="7" t="s">
        <v>38</v>
      </c>
      <c r="F22" s="7" t="s">
        <v>49</v>
      </c>
      <c r="G22" s="7">
        <v>2017</v>
      </c>
      <c r="H22" s="7" t="str">
        <f>CONCATENATE("04270232053")</f>
        <v>04270232053</v>
      </c>
      <c r="I22" s="7" t="s">
        <v>30</v>
      </c>
      <c r="J22" s="7" t="s">
        <v>31</v>
      </c>
      <c r="K22" s="7" t="str">
        <f>CONCATENATE("")</f>
        <v/>
      </c>
      <c r="L22" s="7" t="str">
        <f>CONCATENATE("4 4.4 4c")</f>
        <v>4 4.4 4c</v>
      </c>
      <c r="M22" s="7" t="str">
        <f>CONCATENATE("SBRLBR49L31B474W")</f>
        <v>SBRLBR49L31B474W</v>
      </c>
      <c r="N22" s="7" t="s">
        <v>83</v>
      </c>
      <c r="O22" s="7" t="s">
        <v>81</v>
      </c>
      <c r="P22" s="8">
        <v>44238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3355</v>
      </c>
      <c r="W22" s="9">
        <v>1446.68</v>
      </c>
      <c r="X22" s="9">
        <v>1335.96</v>
      </c>
      <c r="Y22" s="7">
        <v>0</v>
      </c>
      <c r="Z22" s="7">
        <v>572.36</v>
      </c>
    </row>
    <row r="23" spans="1:26" ht="24.75" x14ac:dyDescent="0.25">
      <c r="A23" s="7" t="s">
        <v>27</v>
      </c>
      <c r="B23" s="7" t="s">
        <v>36</v>
      </c>
      <c r="C23" s="7" t="s">
        <v>47</v>
      </c>
      <c r="D23" s="7" t="s">
        <v>84</v>
      </c>
      <c r="E23" s="7" t="s">
        <v>41</v>
      </c>
      <c r="F23" s="7" t="s">
        <v>41</v>
      </c>
      <c r="G23" s="7">
        <v>2017</v>
      </c>
      <c r="H23" s="7" t="str">
        <f>CONCATENATE("94270174702")</f>
        <v>94270174702</v>
      </c>
      <c r="I23" s="7" t="s">
        <v>42</v>
      </c>
      <c r="J23" s="7" t="s">
        <v>31</v>
      </c>
      <c r="K23" s="7" t="str">
        <f>CONCATENATE("")</f>
        <v/>
      </c>
      <c r="L23" s="7" t="str">
        <f>CONCATENATE("1 1.1 2a")</f>
        <v>1 1.1 2a</v>
      </c>
      <c r="M23" s="7" t="str">
        <f>CONCATENATE("01894800430")</f>
        <v>01894800430</v>
      </c>
      <c r="N23" s="7" t="s">
        <v>85</v>
      </c>
      <c r="O23" s="7" t="s">
        <v>86</v>
      </c>
      <c r="P23" s="8">
        <v>44240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2148.1999999999998</v>
      </c>
      <c r="W23" s="7">
        <v>926.3</v>
      </c>
      <c r="X23" s="7">
        <v>855.41</v>
      </c>
      <c r="Y23" s="7">
        <v>0</v>
      </c>
      <c r="Z23" s="7">
        <v>366.49</v>
      </c>
    </row>
    <row r="24" spans="1:26" ht="24.75" x14ac:dyDescent="0.25">
      <c r="A24" s="7" t="s">
        <v>27</v>
      </c>
      <c r="B24" s="7" t="s">
        <v>36</v>
      </c>
      <c r="C24" s="7" t="s">
        <v>47</v>
      </c>
      <c r="D24" s="7" t="s">
        <v>48</v>
      </c>
      <c r="E24" s="7" t="s">
        <v>41</v>
      </c>
      <c r="F24" s="7" t="s">
        <v>41</v>
      </c>
      <c r="G24" s="7">
        <v>2017</v>
      </c>
      <c r="H24" s="7" t="str">
        <f>CONCATENATE("04270232129")</f>
        <v>04270232129</v>
      </c>
      <c r="I24" s="7" t="s">
        <v>30</v>
      </c>
      <c r="J24" s="7" t="s">
        <v>31</v>
      </c>
      <c r="K24" s="7" t="str">
        <f>CONCATENATE("")</f>
        <v/>
      </c>
      <c r="L24" s="7" t="str">
        <f>CONCATENATE("16 16.1 2a")</f>
        <v>16 16.1 2a</v>
      </c>
      <c r="M24" s="7" t="str">
        <f>CONCATENATE("02584400416")</f>
        <v>02584400416</v>
      </c>
      <c r="N24" s="7" t="s">
        <v>87</v>
      </c>
      <c r="O24" s="7" t="s">
        <v>88</v>
      </c>
      <c r="P24" s="8">
        <v>44238</v>
      </c>
      <c r="Q24" s="7" t="s">
        <v>32</v>
      </c>
      <c r="R24" s="7" t="s">
        <v>44</v>
      </c>
      <c r="S24" s="7" t="s">
        <v>34</v>
      </c>
      <c r="T24" s="7"/>
      <c r="U24" s="7" t="s">
        <v>35</v>
      </c>
      <c r="V24" s="9">
        <v>67138.58</v>
      </c>
      <c r="W24" s="9">
        <v>28950.16</v>
      </c>
      <c r="X24" s="9">
        <v>26734.58</v>
      </c>
      <c r="Y24" s="7">
        <v>0</v>
      </c>
      <c r="Z24" s="9">
        <v>11453.84</v>
      </c>
    </row>
    <row r="25" spans="1:26" ht="24.75" x14ac:dyDescent="0.25">
      <c r="A25" s="7" t="s">
        <v>27</v>
      </c>
      <c r="B25" s="7" t="s">
        <v>28</v>
      </c>
      <c r="C25" s="7" t="s">
        <v>47</v>
      </c>
      <c r="D25" s="7" t="s">
        <v>53</v>
      </c>
      <c r="E25" s="7" t="s">
        <v>38</v>
      </c>
      <c r="F25" s="7" t="s">
        <v>89</v>
      </c>
      <c r="G25" s="7">
        <v>2016</v>
      </c>
      <c r="H25" s="7" t="str">
        <f>CONCATENATE("64770271290")</f>
        <v>64770271290</v>
      </c>
      <c r="I25" s="7" t="s">
        <v>42</v>
      </c>
      <c r="J25" s="7" t="s">
        <v>45</v>
      </c>
      <c r="K25" s="7" t="str">
        <f>CONCATENATE("214")</f>
        <v>214</v>
      </c>
      <c r="L25" s="7" t="str">
        <f>CONCATENATE("11 11.2 4b")</f>
        <v>11 11.2 4b</v>
      </c>
      <c r="M25" s="7" t="str">
        <f>CONCATENATE("02395070424")</f>
        <v>02395070424</v>
      </c>
      <c r="N25" s="7" t="s">
        <v>90</v>
      </c>
      <c r="O25" s="7" t="s">
        <v>91</v>
      </c>
      <c r="P25" s="8">
        <v>44243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7">
        <v>447.43</v>
      </c>
      <c r="W25" s="7">
        <v>192.93</v>
      </c>
      <c r="X25" s="7">
        <v>178.17</v>
      </c>
      <c r="Y25" s="7">
        <v>0</v>
      </c>
      <c r="Z25" s="7">
        <v>76.33</v>
      </c>
    </row>
    <row r="26" spans="1:26" ht="24.75" x14ac:dyDescent="0.25">
      <c r="A26" s="7" t="s">
        <v>27</v>
      </c>
      <c r="B26" s="7" t="s">
        <v>28</v>
      </c>
      <c r="C26" s="7" t="s">
        <v>47</v>
      </c>
      <c r="D26" s="7" t="s">
        <v>53</v>
      </c>
      <c r="E26" s="7" t="s">
        <v>38</v>
      </c>
      <c r="F26" s="7" t="s">
        <v>89</v>
      </c>
      <c r="G26" s="7">
        <v>2016</v>
      </c>
      <c r="H26" s="7" t="str">
        <f>CONCATENATE("64770334189")</f>
        <v>64770334189</v>
      </c>
      <c r="I26" s="7" t="s">
        <v>42</v>
      </c>
      <c r="J26" s="7" t="s">
        <v>45</v>
      </c>
      <c r="K26" s="7" t="str">
        <f>CONCATENATE("214")</f>
        <v>214</v>
      </c>
      <c r="L26" s="7" t="str">
        <f>CONCATENATE("11 11.2 4b")</f>
        <v>11 11.2 4b</v>
      </c>
      <c r="M26" s="7" t="str">
        <f>CONCATENATE("02395070424")</f>
        <v>02395070424</v>
      </c>
      <c r="N26" s="7" t="s">
        <v>90</v>
      </c>
      <c r="O26" s="7" t="s">
        <v>91</v>
      </c>
      <c r="P26" s="8">
        <v>44243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7">
        <v>874.72</v>
      </c>
      <c r="W26" s="7">
        <v>377.18</v>
      </c>
      <c r="X26" s="7">
        <v>348.31</v>
      </c>
      <c r="Y26" s="7">
        <v>0</v>
      </c>
      <c r="Z26" s="7">
        <v>149.22999999999999</v>
      </c>
    </row>
    <row r="27" spans="1:26" x14ac:dyDescent="0.25">
      <c r="A27" s="7" t="s">
        <v>27</v>
      </c>
      <c r="B27" s="7" t="s">
        <v>28</v>
      </c>
      <c r="C27" s="7" t="s">
        <v>47</v>
      </c>
      <c r="D27" s="7" t="s">
        <v>48</v>
      </c>
      <c r="E27" s="7" t="s">
        <v>38</v>
      </c>
      <c r="F27" s="7" t="s">
        <v>92</v>
      </c>
      <c r="G27" s="7">
        <v>2020</v>
      </c>
      <c r="H27" s="7" t="str">
        <f>CONCATENATE("04780035343")</f>
        <v>04780035343</v>
      </c>
      <c r="I27" s="7" t="s">
        <v>30</v>
      </c>
      <c r="J27" s="7" t="s">
        <v>45</v>
      </c>
      <c r="K27" s="7" t="str">
        <f>CONCATENATE("221")</f>
        <v>221</v>
      </c>
      <c r="L27" s="7" t="str">
        <f>CONCATENATE("8 8.1 5e")</f>
        <v>8 8.1 5e</v>
      </c>
      <c r="M27" s="7" t="str">
        <f>CONCATENATE("VSSFST73L16L366Z")</f>
        <v>VSSFST73L16L366Z</v>
      </c>
      <c r="N27" s="7" t="s">
        <v>93</v>
      </c>
      <c r="O27" s="7" t="s">
        <v>94</v>
      </c>
      <c r="P27" s="8">
        <v>44243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7">
        <v>696.9</v>
      </c>
      <c r="W27" s="7">
        <v>300.5</v>
      </c>
      <c r="X27" s="7">
        <v>277.51</v>
      </c>
      <c r="Y27" s="7">
        <v>0</v>
      </c>
      <c r="Z27" s="7">
        <v>118.89</v>
      </c>
    </row>
    <row r="28" spans="1:26" x14ac:dyDescent="0.25">
      <c r="A28" s="7" t="s">
        <v>27</v>
      </c>
      <c r="B28" s="7" t="s">
        <v>28</v>
      </c>
      <c r="C28" s="7" t="s">
        <v>47</v>
      </c>
      <c r="D28" s="7" t="s">
        <v>48</v>
      </c>
      <c r="E28" s="7" t="s">
        <v>43</v>
      </c>
      <c r="F28" s="7" t="s">
        <v>69</v>
      </c>
      <c r="G28" s="7">
        <v>2020</v>
      </c>
      <c r="H28" s="7" t="str">
        <f>CONCATENATE("04780006815")</f>
        <v>04780006815</v>
      </c>
      <c r="I28" s="7" t="s">
        <v>30</v>
      </c>
      <c r="J28" s="7" t="s">
        <v>45</v>
      </c>
      <c r="K28" s="7" t="str">
        <f>CONCATENATE("221")</f>
        <v>221</v>
      </c>
      <c r="L28" s="7" t="str">
        <f>CONCATENATE("8 8.1 5e")</f>
        <v>8 8.1 5e</v>
      </c>
      <c r="M28" s="7" t="str">
        <f>CONCATENATE("VLNSTL33C29A334L")</f>
        <v>VLNSTL33C29A334L</v>
      </c>
      <c r="N28" s="7" t="s">
        <v>95</v>
      </c>
      <c r="O28" s="7" t="s">
        <v>94</v>
      </c>
      <c r="P28" s="8">
        <v>44243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1035</v>
      </c>
      <c r="W28" s="7">
        <v>446.29</v>
      </c>
      <c r="X28" s="7">
        <v>412.14</v>
      </c>
      <c r="Y28" s="7">
        <v>0</v>
      </c>
      <c r="Z28" s="7">
        <v>176.57</v>
      </c>
    </row>
    <row r="29" spans="1:26" x14ac:dyDescent="0.25">
      <c r="A29" s="7" t="s">
        <v>27</v>
      </c>
      <c r="B29" s="7" t="s">
        <v>28</v>
      </c>
      <c r="C29" s="7" t="s">
        <v>47</v>
      </c>
      <c r="D29" s="7" t="s">
        <v>48</v>
      </c>
      <c r="E29" s="7" t="s">
        <v>38</v>
      </c>
      <c r="F29" s="7" t="s">
        <v>92</v>
      </c>
      <c r="G29" s="7">
        <v>2020</v>
      </c>
      <c r="H29" s="7" t="str">
        <f>CONCATENATE("04780036143")</f>
        <v>04780036143</v>
      </c>
      <c r="I29" s="7" t="s">
        <v>30</v>
      </c>
      <c r="J29" s="7" t="s">
        <v>45</v>
      </c>
      <c r="K29" s="7" t="str">
        <f>CONCATENATE("221")</f>
        <v>221</v>
      </c>
      <c r="L29" s="7" t="str">
        <f>CONCATENATE("8 8.1 5e")</f>
        <v>8 8.1 5e</v>
      </c>
      <c r="M29" s="7" t="str">
        <f>CONCATENATE("CCCGRG37D11E783M")</f>
        <v>CCCGRG37D11E783M</v>
      </c>
      <c r="N29" s="7" t="s">
        <v>96</v>
      </c>
      <c r="O29" s="7" t="s">
        <v>94</v>
      </c>
      <c r="P29" s="8">
        <v>44243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7">
        <v>535.76</v>
      </c>
      <c r="W29" s="7">
        <v>231.02</v>
      </c>
      <c r="X29" s="7">
        <v>213.34</v>
      </c>
      <c r="Y29" s="7">
        <v>0</v>
      </c>
      <c r="Z29" s="7">
        <v>91.4</v>
      </c>
    </row>
    <row r="30" spans="1:26" ht="24.75" x14ac:dyDescent="0.25">
      <c r="A30" s="7" t="s">
        <v>27</v>
      </c>
      <c r="B30" s="7" t="s">
        <v>28</v>
      </c>
      <c r="C30" s="7" t="s">
        <v>47</v>
      </c>
      <c r="D30" s="7" t="s">
        <v>53</v>
      </c>
      <c r="E30" s="7" t="s">
        <v>29</v>
      </c>
      <c r="F30" s="7" t="s">
        <v>54</v>
      </c>
      <c r="G30" s="7">
        <v>2020</v>
      </c>
      <c r="H30" s="7" t="str">
        <f>CONCATENATE("04780037083")</f>
        <v>04780037083</v>
      </c>
      <c r="I30" s="7" t="s">
        <v>30</v>
      </c>
      <c r="J30" s="7" t="s">
        <v>45</v>
      </c>
      <c r="K30" s="7" t="str">
        <f>CONCATENATE("221")</f>
        <v>221</v>
      </c>
      <c r="L30" s="7" t="str">
        <f>CONCATENATE("8 8.1 5e")</f>
        <v>8 8.1 5e</v>
      </c>
      <c r="M30" s="7" t="str">
        <f>CONCATENATE("PRRNDR86B03E388F")</f>
        <v>PRRNDR86B03E388F</v>
      </c>
      <c r="N30" s="7" t="s">
        <v>55</v>
      </c>
      <c r="O30" s="7" t="s">
        <v>94</v>
      </c>
      <c r="P30" s="8">
        <v>44243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7">
        <v>295.19</v>
      </c>
      <c r="W30" s="7">
        <v>127.29</v>
      </c>
      <c r="X30" s="7">
        <v>117.54</v>
      </c>
      <c r="Y30" s="7">
        <v>0</v>
      </c>
      <c r="Z30" s="7">
        <v>50.36</v>
      </c>
    </row>
    <row r="31" spans="1:26" x14ac:dyDescent="0.25">
      <c r="A31" s="7" t="s">
        <v>27</v>
      </c>
      <c r="B31" s="7" t="s">
        <v>28</v>
      </c>
      <c r="C31" s="7" t="s">
        <v>47</v>
      </c>
      <c r="D31" s="7" t="s">
        <v>48</v>
      </c>
      <c r="E31" s="7" t="s">
        <v>38</v>
      </c>
      <c r="F31" s="7" t="s">
        <v>62</v>
      </c>
      <c r="G31" s="7">
        <v>2020</v>
      </c>
      <c r="H31" s="7" t="str">
        <f>CONCATENATE("04780030138")</f>
        <v>04780030138</v>
      </c>
      <c r="I31" s="7" t="s">
        <v>30</v>
      </c>
      <c r="J31" s="7" t="s">
        <v>45</v>
      </c>
      <c r="K31" s="7" t="str">
        <f>CONCATENATE("221")</f>
        <v>221</v>
      </c>
      <c r="L31" s="7" t="str">
        <f>CONCATENATE("8 8.1 5e")</f>
        <v>8 8.1 5e</v>
      </c>
      <c r="M31" s="7" t="str">
        <f>CONCATENATE("TRRNRC53R15C770X")</f>
        <v>TRRNRC53R15C770X</v>
      </c>
      <c r="N31" s="7" t="s">
        <v>97</v>
      </c>
      <c r="O31" s="7" t="s">
        <v>94</v>
      </c>
      <c r="P31" s="8">
        <v>44243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7">
        <v>356.57</v>
      </c>
      <c r="W31" s="7">
        <v>153.75</v>
      </c>
      <c r="X31" s="7">
        <v>141.99</v>
      </c>
      <c r="Y31" s="7">
        <v>0</v>
      </c>
      <c r="Z31" s="7">
        <v>60.83</v>
      </c>
    </row>
    <row r="32" spans="1:26" x14ac:dyDescent="0.25">
      <c r="A32" s="7" t="s">
        <v>27</v>
      </c>
      <c r="B32" s="7" t="s">
        <v>28</v>
      </c>
      <c r="C32" s="7" t="s">
        <v>47</v>
      </c>
      <c r="D32" s="7" t="s">
        <v>48</v>
      </c>
      <c r="E32" s="7" t="s">
        <v>38</v>
      </c>
      <c r="F32" s="7" t="s">
        <v>92</v>
      </c>
      <c r="G32" s="7">
        <v>2020</v>
      </c>
      <c r="H32" s="7" t="str">
        <f>CONCATENATE("04780029999")</f>
        <v>04780029999</v>
      </c>
      <c r="I32" s="7" t="s">
        <v>30</v>
      </c>
      <c r="J32" s="7" t="s">
        <v>45</v>
      </c>
      <c r="K32" s="7" t="str">
        <f>CONCATENATE("221")</f>
        <v>221</v>
      </c>
      <c r="L32" s="7" t="str">
        <f>CONCATENATE("8 8.1 5e")</f>
        <v>8 8.1 5e</v>
      </c>
      <c r="M32" s="7" t="str">
        <f>CONCATENATE("CMPGLG75T23E783N")</f>
        <v>CMPGLG75T23E783N</v>
      </c>
      <c r="N32" s="7" t="s">
        <v>98</v>
      </c>
      <c r="O32" s="7" t="s">
        <v>94</v>
      </c>
      <c r="P32" s="8">
        <v>44243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7">
        <v>334.85</v>
      </c>
      <c r="W32" s="7">
        <v>144.38999999999999</v>
      </c>
      <c r="X32" s="7">
        <v>133.34</v>
      </c>
      <c r="Y32" s="7">
        <v>0</v>
      </c>
      <c r="Z32" s="7">
        <v>57.12</v>
      </c>
    </row>
    <row r="33" spans="1:26" x14ac:dyDescent="0.25">
      <c r="A33" s="7" t="s">
        <v>27</v>
      </c>
      <c r="B33" s="7" t="s">
        <v>28</v>
      </c>
      <c r="C33" s="7" t="s">
        <v>47</v>
      </c>
      <c r="D33" s="7" t="s">
        <v>48</v>
      </c>
      <c r="E33" s="7" t="s">
        <v>40</v>
      </c>
      <c r="F33" s="7" t="s">
        <v>99</v>
      </c>
      <c r="G33" s="7">
        <v>2020</v>
      </c>
      <c r="H33" s="7" t="str">
        <f>CONCATENATE("04780007532")</f>
        <v>04780007532</v>
      </c>
      <c r="I33" s="7" t="s">
        <v>30</v>
      </c>
      <c r="J33" s="7" t="s">
        <v>45</v>
      </c>
      <c r="K33" s="7" t="str">
        <f>CONCATENATE("221")</f>
        <v>221</v>
      </c>
      <c r="L33" s="7" t="str">
        <f>CONCATENATE("8 8.1 5e")</f>
        <v>8 8.1 5e</v>
      </c>
      <c r="M33" s="7" t="str">
        <f>CONCATENATE("PPGJRU82S30I156F")</f>
        <v>PPGJRU82S30I156F</v>
      </c>
      <c r="N33" s="7" t="s">
        <v>100</v>
      </c>
      <c r="O33" s="7" t="s">
        <v>94</v>
      </c>
      <c r="P33" s="8">
        <v>44243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7">
        <v>590</v>
      </c>
      <c r="W33" s="7">
        <v>254.41</v>
      </c>
      <c r="X33" s="7">
        <v>234.94</v>
      </c>
      <c r="Y33" s="7">
        <v>0</v>
      </c>
      <c r="Z33" s="7">
        <v>100.65</v>
      </c>
    </row>
    <row r="34" spans="1:26" x14ac:dyDescent="0.25">
      <c r="A34" s="7" t="s">
        <v>27</v>
      </c>
      <c r="B34" s="7" t="s">
        <v>28</v>
      </c>
      <c r="C34" s="7" t="s">
        <v>47</v>
      </c>
      <c r="D34" s="7" t="s">
        <v>48</v>
      </c>
      <c r="E34" s="7" t="s">
        <v>39</v>
      </c>
      <c r="F34" s="7" t="s">
        <v>101</v>
      </c>
      <c r="G34" s="7">
        <v>2020</v>
      </c>
      <c r="H34" s="7" t="str">
        <f>CONCATENATE("04780022556")</f>
        <v>04780022556</v>
      </c>
      <c r="I34" s="7" t="s">
        <v>30</v>
      </c>
      <c r="J34" s="7" t="s">
        <v>45</v>
      </c>
      <c r="K34" s="7" t="str">
        <f>CONCATENATE("221")</f>
        <v>221</v>
      </c>
      <c r="L34" s="7" t="str">
        <f>CONCATENATE("8 8.1 5e")</f>
        <v>8 8.1 5e</v>
      </c>
      <c r="M34" s="7" t="str">
        <f>CONCATENATE("BRTDDR35R23E694U")</f>
        <v>BRTDDR35R23E694U</v>
      </c>
      <c r="N34" s="7" t="s">
        <v>102</v>
      </c>
      <c r="O34" s="7" t="s">
        <v>94</v>
      </c>
      <c r="P34" s="8">
        <v>44243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7">
        <v>583</v>
      </c>
      <c r="W34" s="7">
        <v>251.39</v>
      </c>
      <c r="X34" s="7">
        <v>232.15</v>
      </c>
      <c r="Y34" s="7">
        <v>0</v>
      </c>
      <c r="Z34" s="7">
        <v>99.46</v>
      </c>
    </row>
    <row r="35" spans="1:26" x14ac:dyDescent="0.25">
      <c r="A35" s="7" t="s">
        <v>27</v>
      </c>
      <c r="B35" s="7" t="s">
        <v>28</v>
      </c>
      <c r="C35" s="7" t="s">
        <v>47</v>
      </c>
      <c r="D35" s="7" t="s">
        <v>48</v>
      </c>
      <c r="E35" s="7" t="s">
        <v>38</v>
      </c>
      <c r="F35" s="7" t="s">
        <v>62</v>
      </c>
      <c r="G35" s="7">
        <v>2020</v>
      </c>
      <c r="H35" s="7" t="str">
        <f>CONCATENATE("04780030021")</f>
        <v>04780030021</v>
      </c>
      <c r="I35" s="7" t="s">
        <v>30</v>
      </c>
      <c r="J35" s="7" t="s">
        <v>45</v>
      </c>
      <c r="K35" s="7" t="str">
        <f>CONCATENATE("221")</f>
        <v>221</v>
      </c>
      <c r="L35" s="7" t="str">
        <f>CONCATENATE("8 8.1 5e")</f>
        <v>8 8.1 5e</v>
      </c>
      <c r="M35" s="7" t="str">
        <f>CONCATENATE("CRLFLV60T43D121X")</f>
        <v>CRLFLV60T43D121X</v>
      </c>
      <c r="N35" s="7" t="s">
        <v>103</v>
      </c>
      <c r="O35" s="7" t="s">
        <v>94</v>
      </c>
      <c r="P35" s="8">
        <v>44243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7">
        <v>97.74</v>
      </c>
      <c r="W35" s="7">
        <v>42.15</v>
      </c>
      <c r="X35" s="7">
        <v>38.92</v>
      </c>
      <c r="Y35" s="7">
        <v>0</v>
      </c>
      <c r="Z35" s="7">
        <v>16.670000000000002</v>
      </c>
    </row>
    <row r="36" spans="1:26" x14ac:dyDescent="0.25">
      <c r="A36" s="7" t="s">
        <v>27</v>
      </c>
      <c r="B36" s="7" t="s">
        <v>28</v>
      </c>
      <c r="C36" s="7" t="s">
        <v>47</v>
      </c>
      <c r="D36" s="7" t="s">
        <v>48</v>
      </c>
      <c r="E36" s="7" t="s">
        <v>38</v>
      </c>
      <c r="F36" s="7" t="s">
        <v>46</v>
      </c>
      <c r="G36" s="7">
        <v>2020</v>
      </c>
      <c r="H36" s="7" t="str">
        <f>CONCATENATE("04780029262")</f>
        <v>04780029262</v>
      </c>
      <c r="I36" s="7" t="s">
        <v>30</v>
      </c>
      <c r="J36" s="7" t="s">
        <v>45</v>
      </c>
      <c r="K36" s="7" t="str">
        <f>CONCATENATE("221")</f>
        <v>221</v>
      </c>
      <c r="L36" s="7" t="str">
        <f>CONCATENATE("8 8.1 5e")</f>
        <v>8 8.1 5e</v>
      </c>
      <c r="M36" s="7" t="str">
        <f>CONCATENATE("CMBNRC61D09I156I")</f>
        <v>CMBNRC61D09I156I</v>
      </c>
      <c r="N36" s="7" t="s">
        <v>104</v>
      </c>
      <c r="O36" s="7" t="s">
        <v>94</v>
      </c>
      <c r="P36" s="8">
        <v>44243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1227.83</v>
      </c>
      <c r="W36" s="7">
        <v>529.44000000000005</v>
      </c>
      <c r="X36" s="7">
        <v>488.92</v>
      </c>
      <c r="Y36" s="7">
        <v>0</v>
      </c>
      <c r="Z36" s="7">
        <v>209.47</v>
      </c>
    </row>
    <row r="37" spans="1:26" x14ac:dyDescent="0.25">
      <c r="A37" s="7" t="s">
        <v>27</v>
      </c>
      <c r="B37" s="7" t="s">
        <v>28</v>
      </c>
      <c r="C37" s="7" t="s">
        <v>47</v>
      </c>
      <c r="D37" s="7" t="s">
        <v>48</v>
      </c>
      <c r="E37" s="7" t="s">
        <v>38</v>
      </c>
      <c r="F37" s="7" t="s">
        <v>78</v>
      </c>
      <c r="G37" s="7">
        <v>2020</v>
      </c>
      <c r="H37" s="7" t="str">
        <f>CONCATENATE("04780039816")</f>
        <v>04780039816</v>
      </c>
      <c r="I37" s="7" t="s">
        <v>30</v>
      </c>
      <c r="J37" s="7" t="s">
        <v>45</v>
      </c>
      <c r="K37" s="7" t="str">
        <f>CONCATENATE("221")</f>
        <v>221</v>
      </c>
      <c r="L37" s="7" t="str">
        <f>CONCATENATE("8 8.1 5e")</f>
        <v>8 8.1 5e</v>
      </c>
      <c r="M37" s="7" t="str">
        <f>CONCATENATE("CNSRNN48T69E228M")</f>
        <v>CNSRNN48T69E228M</v>
      </c>
      <c r="N37" s="7" t="s">
        <v>105</v>
      </c>
      <c r="O37" s="7" t="s">
        <v>94</v>
      </c>
      <c r="P37" s="8">
        <v>44243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7">
        <v>560.70000000000005</v>
      </c>
      <c r="W37" s="7">
        <v>241.77</v>
      </c>
      <c r="X37" s="7">
        <v>223.27</v>
      </c>
      <c r="Y37" s="7">
        <v>0</v>
      </c>
      <c r="Z37" s="7">
        <v>95.66</v>
      </c>
    </row>
    <row r="38" spans="1:26" x14ac:dyDescent="0.25">
      <c r="A38" s="7" t="s">
        <v>27</v>
      </c>
      <c r="B38" s="7" t="s">
        <v>28</v>
      </c>
      <c r="C38" s="7" t="s">
        <v>47</v>
      </c>
      <c r="D38" s="7" t="s">
        <v>48</v>
      </c>
      <c r="E38" s="7" t="s">
        <v>29</v>
      </c>
      <c r="F38" s="7" t="s">
        <v>106</v>
      </c>
      <c r="G38" s="7">
        <v>2020</v>
      </c>
      <c r="H38" s="7" t="str">
        <f>CONCATENATE("04780017523")</f>
        <v>04780017523</v>
      </c>
      <c r="I38" s="7" t="s">
        <v>30</v>
      </c>
      <c r="J38" s="7" t="s">
        <v>45</v>
      </c>
      <c r="K38" s="7" t="str">
        <f>CONCATENATE("221")</f>
        <v>221</v>
      </c>
      <c r="L38" s="7" t="str">
        <f>CONCATENATE("8 8.1 5e")</f>
        <v>8 8.1 5e</v>
      </c>
      <c r="M38" s="7" t="str">
        <f>CONCATENATE("80006970430")</f>
        <v>80006970430</v>
      </c>
      <c r="N38" s="7" t="s">
        <v>107</v>
      </c>
      <c r="O38" s="7" t="s">
        <v>94</v>
      </c>
      <c r="P38" s="8">
        <v>44243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1458</v>
      </c>
      <c r="W38" s="7">
        <v>628.69000000000005</v>
      </c>
      <c r="X38" s="7">
        <v>580.58000000000004</v>
      </c>
      <c r="Y38" s="7">
        <v>0</v>
      </c>
      <c r="Z38" s="7">
        <v>248.73</v>
      </c>
    </row>
    <row r="39" spans="1:26" ht="24.75" x14ac:dyDescent="0.25">
      <c r="A39" s="7" t="s">
        <v>27</v>
      </c>
      <c r="B39" s="7" t="s">
        <v>28</v>
      </c>
      <c r="C39" s="7" t="s">
        <v>47</v>
      </c>
      <c r="D39" s="7" t="s">
        <v>53</v>
      </c>
      <c r="E39" s="7" t="s">
        <v>38</v>
      </c>
      <c r="F39" s="7" t="s">
        <v>89</v>
      </c>
      <c r="G39" s="7">
        <v>2020</v>
      </c>
      <c r="H39" s="7" t="str">
        <f>CONCATENATE("04780011534")</f>
        <v>04780011534</v>
      </c>
      <c r="I39" s="7" t="s">
        <v>30</v>
      </c>
      <c r="J39" s="7" t="s">
        <v>45</v>
      </c>
      <c r="K39" s="7" t="str">
        <f>CONCATENATE("221")</f>
        <v>221</v>
      </c>
      <c r="L39" s="7" t="str">
        <f>CONCATENATE("8 8.1 5e")</f>
        <v>8 8.1 5e</v>
      </c>
      <c r="M39" s="7" t="str">
        <f>CONCATENATE("BSCPRN57H02D965O")</f>
        <v>BSCPRN57H02D965O</v>
      </c>
      <c r="N39" s="7" t="s">
        <v>108</v>
      </c>
      <c r="O39" s="7" t="s">
        <v>94</v>
      </c>
      <c r="P39" s="8">
        <v>44243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7">
        <v>315</v>
      </c>
      <c r="W39" s="7">
        <v>135.83000000000001</v>
      </c>
      <c r="X39" s="7">
        <v>125.43</v>
      </c>
      <c r="Y39" s="7">
        <v>0</v>
      </c>
      <c r="Z39" s="7">
        <v>53.74</v>
      </c>
    </row>
    <row r="40" spans="1:26" x14ac:dyDescent="0.25">
      <c r="A40" s="7" t="s">
        <v>27</v>
      </c>
      <c r="B40" s="7" t="s">
        <v>28</v>
      </c>
      <c r="C40" s="7" t="s">
        <v>47</v>
      </c>
      <c r="D40" s="7" t="s">
        <v>48</v>
      </c>
      <c r="E40" s="7" t="s">
        <v>37</v>
      </c>
      <c r="F40" s="7" t="s">
        <v>72</v>
      </c>
      <c r="G40" s="7">
        <v>2020</v>
      </c>
      <c r="H40" s="7" t="str">
        <f>CONCATENATE("04780024354")</f>
        <v>04780024354</v>
      </c>
      <c r="I40" s="7" t="s">
        <v>30</v>
      </c>
      <c r="J40" s="7" t="s">
        <v>45</v>
      </c>
      <c r="K40" s="7" t="str">
        <f>CONCATENATE("221")</f>
        <v>221</v>
      </c>
      <c r="L40" s="7" t="str">
        <f>CONCATENATE("8 8.1 5e")</f>
        <v>8 8.1 5e</v>
      </c>
      <c r="M40" s="7" t="str">
        <f>CONCATENATE("CRCCSR36E04I156N")</f>
        <v>CRCCSR36E04I156N</v>
      </c>
      <c r="N40" s="7" t="s">
        <v>109</v>
      </c>
      <c r="O40" s="7" t="s">
        <v>94</v>
      </c>
      <c r="P40" s="8">
        <v>44243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1800</v>
      </c>
      <c r="W40" s="7">
        <v>776.16</v>
      </c>
      <c r="X40" s="7">
        <v>716.76</v>
      </c>
      <c r="Y40" s="7">
        <v>0</v>
      </c>
      <c r="Z40" s="7">
        <v>307.08</v>
      </c>
    </row>
    <row r="41" spans="1:26" x14ac:dyDescent="0.25">
      <c r="A41" s="7" t="s">
        <v>27</v>
      </c>
      <c r="B41" s="7" t="s">
        <v>28</v>
      </c>
      <c r="C41" s="7" t="s">
        <v>47</v>
      </c>
      <c r="D41" s="7" t="s">
        <v>48</v>
      </c>
      <c r="E41" s="7" t="s">
        <v>39</v>
      </c>
      <c r="F41" s="7" t="s">
        <v>101</v>
      </c>
      <c r="G41" s="7">
        <v>2020</v>
      </c>
      <c r="H41" s="7" t="str">
        <f>CONCATENATE("04780022572")</f>
        <v>04780022572</v>
      </c>
      <c r="I41" s="7" t="s">
        <v>30</v>
      </c>
      <c r="J41" s="7" t="s">
        <v>45</v>
      </c>
      <c r="K41" s="7" t="str">
        <f>CONCATENATE("221")</f>
        <v>221</v>
      </c>
      <c r="L41" s="7" t="str">
        <f>CONCATENATE("8 8.1 5e")</f>
        <v>8 8.1 5e</v>
      </c>
      <c r="M41" s="7" t="str">
        <f>CONCATENATE("BRTNRC42B22E694F")</f>
        <v>BRTNRC42B22E694F</v>
      </c>
      <c r="N41" s="7" t="s">
        <v>110</v>
      </c>
      <c r="O41" s="7" t="s">
        <v>94</v>
      </c>
      <c r="P41" s="8">
        <v>44243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7">
        <v>682.44</v>
      </c>
      <c r="W41" s="7">
        <v>294.27</v>
      </c>
      <c r="X41" s="7">
        <v>271.75</v>
      </c>
      <c r="Y41" s="7">
        <v>0</v>
      </c>
      <c r="Z41" s="7">
        <v>116.42</v>
      </c>
    </row>
    <row r="42" spans="1:26" x14ac:dyDescent="0.25">
      <c r="A42" s="7" t="s">
        <v>27</v>
      </c>
      <c r="B42" s="7" t="s">
        <v>28</v>
      </c>
      <c r="C42" s="7" t="s">
        <v>47</v>
      </c>
      <c r="D42" s="7" t="s">
        <v>48</v>
      </c>
      <c r="E42" s="7" t="s">
        <v>43</v>
      </c>
      <c r="F42" s="7" t="s">
        <v>69</v>
      </c>
      <c r="G42" s="7">
        <v>2020</v>
      </c>
      <c r="H42" s="7" t="str">
        <f>CONCATENATE("04780006724")</f>
        <v>04780006724</v>
      </c>
      <c r="I42" s="7" t="s">
        <v>30</v>
      </c>
      <c r="J42" s="7" t="s">
        <v>45</v>
      </c>
      <c r="K42" s="7" t="str">
        <f>CONCATENATE("221")</f>
        <v>221</v>
      </c>
      <c r="L42" s="7" t="str">
        <f>CONCATENATE("8 8.1 5e")</f>
        <v>8 8.1 5e</v>
      </c>
      <c r="M42" s="7" t="str">
        <f>CONCATENATE("FRNMRA60T14A334Y")</f>
        <v>FRNMRA60T14A334Y</v>
      </c>
      <c r="N42" s="7" t="s">
        <v>111</v>
      </c>
      <c r="O42" s="7" t="s">
        <v>94</v>
      </c>
      <c r="P42" s="8">
        <v>44243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7">
        <v>558.9</v>
      </c>
      <c r="W42" s="7">
        <v>241</v>
      </c>
      <c r="X42" s="7">
        <v>222.55</v>
      </c>
      <c r="Y42" s="7">
        <v>0</v>
      </c>
      <c r="Z42" s="7">
        <v>95.35</v>
      </c>
    </row>
    <row r="43" spans="1:26" x14ac:dyDescent="0.25">
      <c r="A43" s="7" t="s">
        <v>27</v>
      </c>
      <c r="B43" s="7" t="s">
        <v>28</v>
      </c>
      <c r="C43" s="7" t="s">
        <v>47</v>
      </c>
      <c r="D43" s="7" t="s">
        <v>48</v>
      </c>
      <c r="E43" s="7" t="s">
        <v>43</v>
      </c>
      <c r="F43" s="7" t="s">
        <v>69</v>
      </c>
      <c r="G43" s="7">
        <v>2020</v>
      </c>
      <c r="H43" s="7" t="str">
        <f>CONCATENATE("04780044956")</f>
        <v>04780044956</v>
      </c>
      <c r="I43" s="7" t="s">
        <v>30</v>
      </c>
      <c r="J43" s="7" t="s">
        <v>45</v>
      </c>
      <c r="K43" s="7" t="str">
        <f>CONCATENATE("221")</f>
        <v>221</v>
      </c>
      <c r="L43" s="7" t="str">
        <f>CONCATENATE("8 8.1 5e")</f>
        <v>8 8.1 5e</v>
      </c>
      <c r="M43" s="7" t="str">
        <f>CONCATENATE("BLZCLD68T17E783E")</f>
        <v>BLZCLD68T17E783E</v>
      </c>
      <c r="N43" s="7" t="s">
        <v>112</v>
      </c>
      <c r="O43" s="7" t="s">
        <v>94</v>
      </c>
      <c r="P43" s="8">
        <v>44243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7">
        <v>369.24</v>
      </c>
      <c r="W43" s="7">
        <v>159.22</v>
      </c>
      <c r="X43" s="7">
        <v>147.03</v>
      </c>
      <c r="Y43" s="7">
        <v>0</v>
      </c>
      <c r="Z43" s="7">
        <v>62.99</v>
      </c>
    </row>
    <row r="44" spans="1:26" x14ac:dyDescent="0.25">
      <c r="A44" s="7" t="s">
        <v>27</v>
      </c>
      <c r="B44" s="7" t="s">
        <v>28</v>
      </c>
      <c r="C44" s="7" t="s">
        <v>47</v>
      </c>
      <c r="D44" s="7" t="s">
        <v>48</v>
      </c>
      <c r="E44" s="7" t="s">
        <v>38</v>
      </c>
      <c r="F44" s="7" t="s">
        <v>92</v>
      </c>
      <c r="G44" s="7">
        <v>2020</v>
      </c>
      <c r="H44" s="7" t="str">
        <f>CONCATENATE("04780036259")</f>
        <v>04780036259</v>
      </c>
      <c r="I44" s="7" t="s">
        <v>30</v>
      </c>
      <c r="J44" s="7" t="s">
        <v>45</v>
      </c>
      <c r="K44" s="7" t="str">
        <f>CONCATENATE("221")</f>
        <v>221</v>
      </c>
      <c r="L44" s="7" t="str">
        <f>CONCATENATE("8 8.1 5e")</f>
        <v>8 8.1 5e</v>
      </c>
      <c r="M44" s="7" t="str">
        <f>CONCATENATE("CRNGPP65A21E783V")</f>
        <v>CRNGPP65A21E783V</v>
      </c>
      <c r="N44" s="7" t="s">
        <v>113</v>
      </c>
      <c r="O44" s="7" t="s">
        <v>94</v>
      </c>
      <c r="P44" s="8">
        <v>44243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7">
        <v>132.13</v>
      </c>
      <c r="W44" s="7">
        <v>56.97</v>
      </c>
      <c r="X44" s="7">
        <v>52.61</v>
      </c>
      <c r="Y44" s="7">
        <v>0</v>
      </c>
      <c r="Z44" s="7">
        <v>22.55</v>
      </c>
    </row>
    <row r="45" spans="1:26" ht="24.75" x14ac:dyDescent="0.25">
      <c r="A45" s="7" t="s">
        <v>27</v>
      </c>
      <c r="B45" s="7" t="s">
        <v>28</v>
      </c>
      <c r="C45" s="7" t="s">
        <v>47</v>
      </c>
      <c r="D45" s="7" t="s">
        <v>53</v>
      </c>
      <c r="E45" s="7" t="s">
        <v>29</v>
      </c>
      <c r="F45" s="7" t="s">
        <v>114</v>
      </c>
      <c r="G45" s="7">
        <v>2020</v>
      </c>
      <c r="H45" s="7" t="str">
        <f>CONCATENATE("04780013597")</f>
        <v>04780013597</v>
      </c>
      <c r="I45" s="7" t="s">
        <v>30</v>
      </c>
      <c r="J45" s="7" t="s">
        <v>45</v>
      </c>
      <c r="K45" s="7" t="str">
        <f>CONCATENATE("221")</f>
        <v>221</v>
      </c>
      <c r="L45" s="7" t="str">
        <f>CONCATENATE("8 8.1 5e")</f>
        <v>8 8.1 5e</v>
      </c>
      <c r="M45" s="7" t="str">
        <f>CONCATENATE("PSRLEI28D13I608X")</f>
        <v>PSRLEI28D13I608X</v>
      </c>
      <c r="N45" s="7" t="s">
        <v>115</v>
      </c>
      <c r="O45" s="7" t="s">
        <v>116</v>
      </c>
      <c r="P45" s="8">
        <v>44243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2886.14</v>
      </c>
      <c r="W45" s="9">
        <v>1244.5</v>
      </c>
      <c r="X45" s="9">
        <v>1149.26</v>
      </c>
      <c r="Y45" s="7">
        <v>0</v>
      </c>
      <c r="Z45" s="7">
        <v>492.38</v>
      </c>
    </row>
    <row r="46" spans="1:26" ht="24.75" x14ac:dyDescent="0.25">
      <c r="A46" s="7" t="s">
        <v>27</v>
      </c>
      <c r="B46" s="7" t="s">
        <v>36</v>
      </c>
      <c r="C46" s="7" t="s">
        <v>47</v>
      </c>
      <c r="D46" s="7" t="s">
        <v>53</v>
      </c>
      <c r="E46" s="7" t="s">
        <v>41</v>
      </c>
      <c r="F46" s="7" t="s">
        <v>41</v>
      </c>
      <c r="G46" s="7">
        <v>2017</v>
      </c>
      <c r="H46" s="7" t="str">
        <f>CONCATENATE("04270232087")</f>
        <v>04270232087</v>
      </c>
      <c r="I46" s="7" t="s">
        <v>30</v>
      </c>
      <c r="J46" s="7" t="s">
        <v>31</v>
      </c>
      <c r="K46" s="7" t="str">
        <f>CONCATENATE("")</f>
        <v/>
      </c>
      <c r="L46" s="7" t="str">
        <f>CONCATENATE("16 16.1 2a")</f>
        <v>16 16.1 2a</v>
      </c>
      <c r="M46" s="7" t="str">
        <f>CONCATENATE("01415990421")</f>
        <v>01415990421</v>
      </c>
      <c r="N46" s="7" t="s">
        <v>117</v>
      </c>
      <c r="O46" s="7" t="s">
        <v>118</v>
      </c>
      <c r="P46" s="8">
        <v>44238</v>
      </c>
      <c r="Q46" s="7" t="s">
        <v>32</v>
      </c>
      <c r="R46" s="7" t="s">
        <v>44</v>
      </c>
      <c r="S46" s="7" t="s">
        <v>34</v>
      </c>
      <c r="T46" s="7"/>
      <c r="U46" s="7" t="s">
        <v>35</v>
      </c>
      <c r="V46" s="9">
        <v>111753.25</v>
      </c>
      <c r="W46" s="9">
        <v>48188</v>
      </c>
      <c r="X46" s="9">
        <v>44500.14</v>
      </c>
      <c r="Y46" s="7">
        <v>0</v>
      </c>
      <c r="Z46" s="9">
        <v>19065.11</v>
      </c>
    </row>
    <row r="47" spans="1:26" ht="24.75" x14ac:dyDescent="0.25">
      <c r="A47" s="7" t="s">
        <v>27</v>
      </c>
      <c r="B47" s="7" t="s">
        <v>36</v>
      </c>
      <c r="C47" s="7" t="s">
        <v>47</v>
      </c>
      <c r="D47" s="7" t="s">
        <v>53</v>
      </c>
      <c r="E47" s="7" t="s">
        <v>29</v>
      </c>
      <c r="F47" s="7" t="s">
        <v>119</v>
      </c>
      <c r="G47" s="7">
        <v>2017</v>
      </c>
      <c r="H47" s="7" t="str">
        <f>CONCATENATE("04270232079")</f>
        <v>04270232079</v>
      </c>
      <c r="I47" s="7" t="s">
        <v>30</v>
      </c>
      <c r="J47" s="7" t="s">
        <v>31</v>
      </c>
      <c r="K47" s="7" t="str">
        <f>CONCATENATE("")</f>
        <v/>
      </c>
      <c r="L47" s="7" t="str">
        <f>CONCATENATE("16 16.1 2a")</f>
        <v>16 16.1 2a</v>
      </c>
      <c r="M47" s="7" t="str">
        <f>CONCATENATE("02588530424")</f>
        <v>02588530424</v>
      </c>
      <c r="N47" s="7" t="s">
        <v>120</v>
      </c>
      <c r="O47" s="7" t="s">
        <v>118</v>
      </c>
      <c r="P47" s="8">
        <v>44238</v>
      </c>
      <c r="Q47" s="7" t="s">
        <v>32</v>
      </c>
      <c r="R47" s="7" t="s">
        <v>44</v>
      </c>
      <c r="S47" s="7" t="s">
        <v>34</v>
      </c>
      <c r="T47" s="7"/>
      <c r="U47" s="7" t="s">
        <v>35</v>
      </c>
      <c r="V47" s="9">
        <v>75388.2</v>
      </c>
      <c r="W47" s="9">
        <v>32507.39</v>
      </c>
      <c r="X47" s="9">
        <v>30019.58</v>
      </c>
      <c r="Y47" s="7">
        <v>0</v>
      </c>
      <c r="Z47" s="9">
        <v>12861.23</v>
      </c>
    </row>
    <row r="48" spans="1:26" ht="24.75" x14ac:dyDescent="0.25">
      <c r="A48" s="7" t="s">
        <v>27</v>
      </c>
      <c r="B48" s="7" t="s">
        <v>28</v>
      </c>
      <c r="C48" s="7" t="s">
        <v>47</v>
      </c>
      <c r="D48" s="7" t="s">
        <v>53</v>
      </c>
      <c r="E48" s="7" t="s">
        <v>38</v>
      </c>
      <c r="F48" s="7" t="s">
        <v>58</v>
      </c>
      <c r="G48" s="7">
        <v>2020</v>
      </c>
      <c r="H48" s="7" t="str">
        <f>CONCATENATE("04780007334")</f>
        <v>04780007334</v>
      </c>
      <c r="I48" s="7" t="s">
        <v>30</v>
      </c>
      <c r="J48" s="7" t="s">
        <v>45</v>
      </c>
      <c r="K48" s="7" t="str">
        <f>CONCATENATE("221")</f>
        <v>221</v>
      </c>
      <c r="L48" s="7" t="str">
        <f>CONCATENATE("8 8.1 5e")</f>
        <v>8 8.1 5e</v>
      </c>
      <c r="M48" s="7" t="str">
        <f>CONCATENATE("MNCFRC76R14D007J")</f>
        <v>MNCFRC76R14D007J</v>
      </c>
      <c r="N48" s="7" t="s">
        <v>121</v>
      </c>
      <c r="O48" s="7" t="s">
        <v>116</v>
      </c>
      <c r="P48" s="8">
        <v>44243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7">
        <v>364.8</v>
      </c>
      <c r="W48" s="7">
        <v>157.30000000000001</v>
      </c>
      <c r="X48" s="7">
        <v>145.26</v>
      </c>
      <c r="Y48" s="7">
        <v>0</v>
      </c>
      <c r="Z48" s="7">
        <v>62.24</v>
      </c>
    </row>
    <row r="49" spans="1:26" ht="24.75" x14ac:dyDescent="0.25">
      <c r="A49" s="7" t="s">
        <v>27</v>
      </c>
      <c r="B49" s="7" t="s">
        <v>28</v>
      </c>
      <c r="C49" s="7" t="s">
        <v>47</v>
      </c>
      <c r="D49" s="7" t="s">
        <v>53</v>
      </c>
      <c r="E49" s="7" t="s">
        <v>39</v>
      </c>
      <c r="F49" s="7" t="s">
        <v>122</v>
      </c>
      <c r="G49" s="7">
        <v>2020</v>
      </c>
      <c r="H49" s="7" t="str">
        <f>CONCATENATE("04780045433")</f>
        <v>04780045433</v>
      </c>
      <c r="I49" s="7" t="s">
        <v>30</v>
      </c>
      <c r="J49" s="7" t="s">
        <v>45</v>
      </c>
      <c r="K49" s="7" t="str">
        <f>CONCATENATE("221")</f>
        <v>221</v>
      </c>
      <c r="L49" s="7" t="str">
        <f>CONCATENATE("8 8.1 5e")</f>
        <v>8 8.1 5e</v>
      </c>
      <c r="M49" s="7" t="str">
        <f>CONCATENATE("SPRMRA21M47D451N")</f>
        <v>SPRMRA21M47D451N</v>
      </c>
      <c r="N49" s="7" t="s">
        <v>123</v>
      </c>
      <c r="O49" s="7" t="s">
        <v>116</v>
      </c>
      <c r="P49" s="8">
        <v>44243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7">
        <v>101.42</v>
      </c>
      <c r="W49" s="7">
        <v>43.73</v>
      </c>
      <c r="X49" s="7">
        <v>40.39</v>
      </c>
      <c r="Y49" s="7">
        <v>0</v>
      </c>
      <c r="Z49" s="7">
        <v>17.3</v>
      </c>
    </row>
    <row r="50" spans="1:26" ht="24.75" x14ac:dyDescent="0.25">
      <c r="A50" s="7" t="s">
        <v>27</v>
      </c>
      <c r="B50" s="7" t="s">
        <v>28</v>
      </c>
      <c r="C50" s="7" t="s">
        <v>47</v>
      </c>
      <c r="D50" s="7" t="s">
        <v>53</v>
      </c>
      <c r="E50" s="7" t="s">
        <v>38</v>
      </c>
      <c r="F50" s="7" t="s">
        <v>124</v>
      </c>
      <c r="G50" s="7">
        <v>2020</v>
      </c>
      <c r="H50" s="7" t="str">
        <f>CONCATENATE("04780029437")</f>
        <v>04780029437</v>
      </c>
      <c r="I50" s="7" t="s">
        <v>30</v>
      </c>
      <c r="J50" s="7" t="s">
        <v>45</v>
      </c>
      <c r="K50" s="7" t="str">
        <f>CONCATENATE("221")</f>
        <v>221</v>
      </c>
      <c r="L50" s="7" t="str">
        <f>CONCATENATE("8 8.1 5e")</f>
        <v>8 8.1 5e</v>
      </c>
      <c r="M50" s="7" t="str">
        <f>CONCATENATE("RTLDMR54T59H979A")</f>
        <v>RTLDMR54T59H979A</v>
      </c>
      <c r="N50" s="7" t="s">
        <v>125</v>
      </c>
      <c r="O50" s="7" t="s">
        <v>116</v>
      </c>
      <c r="P50" s="8">
        <v>44243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2624</v>
      </c>
      <c r="W50" s="9">
        <v>1131.47</v>
      </c>
      <c r="X50" s="9">
        <v>1044.8800000000001</v>
      </c>
      <c r="Y50" s="7">
        <v>0</v>
      </c>
      <c r="Z50" s="7">
        <v>447.65</v>
      </c>
    </row>
    <row r="51" spans="1:26" ht="24.75" x14ac:dyDescent="0.25">
      <c r="A51" s="7" t="s">
        <v>27</v>
      </c>
      <c r="B51" s="7" t="s">
        <v>28</v>
      </c>
      <c r="C51" s="7" t="s">
        <v>47</v>
      </c>
      <c r="D51" s="7" t="s">
        <v>53</v>
      </c>
      <c r="E51" s="7" t="s">
        <v>38</v>
      </c>
      <c r="F51" s="7" t="s">
        <v>89</v>
      </c>
      <c r="G51" s="7">
        <v>2020</v>
      </c>
      <c r="H51" s="7" t="str">
        <f>CONCATENATE("04780012722")</f>
        <v>04780012722</v>
      </c>
      <c r="I51" s="7" t="s">
        <v>30</v>
      </c>
      <c r="J51" s="7" t="s">
        <v>45</v>
      </c>
      <c r="K51" s="7" t="str">
        <f>CONCATENATE("221")</f>
        <v>221</v>
      </c>
      <c r="L51" s="7" t="str">
        <f>CONCATENATE("8 8.1 5e")</f>
        <v>8 8.1 5e</v>
      </c>
      <c r="M51" s="7" t="str">
        <f>CONCATENATE("00263510422")</f>
        <v>00263510422</v>
      </c>
      <c r="N51" s="7" t="s">
        <v>126</v>
      </c>
      <c r="O51" s="7" t="s">
        <v>116</v>
      </c>
      <c r="P51" s="8">
        <v>44243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7">
        <v>644.16</v>
      </c>
      <c r="W51" s="7">
        <v>277.76</v>
      </c>
      <c r="X51" s="7">
        <v>256.5</v>
      </c>
      <c r="Y51" s="7">
        <v>0</v>
      </c>
      <c r="Z51" s="7">
        <v>109.9</v>
      </c>
    </row>
    <row r="52" spans="1:26" ht="24.75" x14ac:dyDescent="0.25">
      <c r="A52" s="7" t="s">
        <v>27</v>
      </c>
      <c r="B52" s="7" t="s">
        <v>28</v>
      </c>
      <c r="C52" s="7" t="s">
        <v>47</v>
      </c>
      <c r="D52" s="7" t="s">
        <v>53</v>
      </c>
      <c r="E52" s="7" t="s">
        <v>37</v>
      </c>
      <c r="F52" s="7" t="s">
        <v>72</v>
      </c>
      <c r="G52" s="7">
        <v>2020</v>
      </c>
      <c r="H52" s="7" t="str">
        <f>CONCATENATE("04780037281")</f>
        <v>04780037281</v>
      </c>
      <c r="I52" s="7" t="s">
        <v>30</v>
      </c>
      <c r="J52" s="7" t="s">
        <v>45</v>
      </c>
      <c r="K52" s="7" t="str">
        <f>CONCATENATE("221")</f>
        <v>221</v>
      </c>
      <c r="L52" s="7" t="str">
        <f>CONCATENATE("8 8.1 5e")</f>
        <v>8 8.1 5e</v>
      </c>
      <c r="M52" s="7" t="str">
        <f>CONCATENATE("PLCMRA59H67D597N")</f>
        <v>PLCMRA59H67D597N</v>
      </c>
      <c r="N52" s="7" t="s">
        <v>127</v>
      </c>
      <c r="O52" s="7" t="s">
        <v>116</v>
      </c>
      <c r="P52" s="8">
        <v>44243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7">
        <v>162.99</v>
      </c>
      <c r="W52" s="7">
        <v>70.28</v>
      </c>
      <c r="X52" s="7">
        <v>64.900000000000006</v>
      </c>
      <c r="Y52" s="7">
        <v>0</v>
      </c>
      <c r="Z52" s="7">
        <v>27.81</v>
      </c>
    </row>
    <row r="53" spans="1:26" ht="24.75" x14ac:dyDescent="0.25">
      <c r="A53" s="7" t="s">
        <v>27</v>
      </c>
      <c r="B53" s="7" t="s">
        <v>28</v>
      </c>
      <c r="C53" s="7" t="s">
        <v>47</v>
      </c>
      <c r="D53" s="7" t="s">
        <v>53</v>
      </c>
      <c r="E53" s="7" t="s">
        <v>37</v>
      </c>
      <c r="F53" s="7" t="s">
        <v>72</v>
      </c>
      <c r="G53" s="7">
        <v>2020</v>
      </c>
      <c r="H53" s="7" t="str">
        <f>CONCATENATE("04780027100")</f>
        <v>04780027100</v>
      </c>
      <c r="I53" s="7" t="s">
        <v>30</v>
      </c>
      <c r="J53" s="7" t="s">
        <v>45</v>
      </c>
      <c r="K53" s="7" t="str">
        <f>CONCATENATE("221")</f>
        <v>221</v>
      </c>
      <c r="L53" s="7" t="str">
        <f>CONCATENATE("8 8.1 5e")</f>
        <v>8 8.1 5e</v>
      </c>
      <c r="M53" s="7" t="str">
        <f>CONCATENATE("01574900427")</f>
        <v>01574900427</v>
      </c>
      <c r="N53" s="7" t="s">
        <v>128</v>
      </c>
      <c r="O53" s="7" t="s">
        <v>116</v>
      </c>
      <c r="P53" s="8">
        <v>44243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7">
        <v>364.01</v>
      </c>
      <c r="W53" s="7">
        <v>156.96</v>
      </c>
      <c r="X53" s="7">
        <v>144.94999999999999</v>
      </c>
      <c r="Y53" s="7">
        <v>0</v>
      </c>
      <c r="Z53" s="7">
        <v>62.1</v>
      </c>
    </row>
    <row r="54" spans="1:26" ht="24.75" x14ac:dyDescent="0.25">
      <c r="A54" s="7" t="s">
        <v>27</v>
      </c>
      <c r="B54" s="7" t="s">
        <v>28</v>
      </c>
      <c r="C54" s="7" t="s">
        <v>47</v>
      </c>
      <c r="D54" s="7" t="s">
        <v>53</v>
      </c>
      <c r="E54" s="7" t="s">
        <v>37</v>
      </c>
      <c r="F54" s="7" t="s">
        <v>60</v>
      </c>
      <c r="G54" s="7">
        <v>2020</v>
      </c>
      <c r="H54" s="7" t="str">
        <f>CONCATENATE("04780037810")</f>
        <v>04780037810</v>
      </c>
      <c r="I54" s="7" t="s">
        <v>30</v>
      </c>
      <c r="J54" s="7" t="s">
        <v>45</v>
      </c>
      <c r="K54" s="7" t="str">
        <f>CONCATENATE("221")</f>
        <v>221</v>
      </c>
      <c r="L54" s="7" t="str">
        <f>CONCATENATE("8 8.1 5e")</f>
        <v>8 8.1 5e</v>
      </c>
      <c r="M54" s="7" t="str">
        <f>CONCATENATE("PGNCST68R64A271Q")</f>
        <v>PGNCST68R64A271Q</v>
      </c>
      <c r="N54" s="7" t="s">
        <v>129</v>
      </c>
      <c r="O54" s="7" t="s">
        <v>116</v>
      </c>
      <c r="P54" s="8">
        <v>44243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1248</v>
      </c>
      <c r="W54" s="7">
        <v>538.14</v>
      </c>
      <c r="X54" s="7">
        <v>496.95</v>
      </c>
      <c r="Y54" s="7">
        <v>0</v>
      </c>
      <c r="Z54" s="7">
        <v>212.91</v>
      </c>
    </row>
    <row r="55" spans="1:26" ht="24.75" x14ac:dyDescent="0.25">
      <c r="A55" s="7" t="s">
        <v>27</v>
      </c>
      <c r="B55" s="7" t="s">
        <v>28</v>
      </c>
      <c r="C55" s="7" t="s">
        <v>47</v>
      </c>
      <c r="D55" s="7" t="s">
        <v>53</v>
      </c>
      <c r="E55" s="7" t="s">
        <v>37</v>
      </c>
      <c r="F55" s="7" t="s">
        <v>60</v>
      </c>
      <c r="G55" s="7">
        <v>2020</v>
      </c>
      <c r="H55" s="7" t="str">
        <f>CONCATENATE("04780037836")</f>
        <v>04780037836</v>
      </c>
      <c r="I55" s="7" t="s">
        <v>30</v>
      </c>
      <c r="J55" s="7" t="s">
        <v>45</v>
      </c>
      <c r="K55" s="7" t="str">
        <f>CONCATENATE("221")</f>
        <v>221</v>
      </c>
      <c r="L55" s="7" t="str">
        <f>CONCATENATE("8 8.1 5e")</f>
        <v>8 8.1 5e</v>
      </c>
      <c r="M55" s="7" t="str">
        <f>CONCATENATE("RMNSLL67A60A271L")</f>
        <v>RMNSLL67A60A271L</v>
      </c>
      <c r="N55" s="7" t="s">
        <v>130</v>
      </c>
      <c r="O55" s="7" t="s">
        <v>116</v>
      </c>
      <c r="P55" s="8">
        <v>44243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7">
        <v>271.64999999999998</v>
      </c>
      <c r="W55" s="7">
        <v>117.14</v>
      </c>
      <c r="X55" s="7">
        <v>108.17</v>
      </c>
      <c r="Y55" s="7">
        <v>0</v>
      </c>
      <c r="Z55" s="7">
        <v>46.34</v>
      </c>
    </row>
    <row r="56" spans="1:26" ht="24.75" x14ac:dyDescent="0.25">
      <c r="A56" s="7" t="s">
        <v>27</v>
      </c>
      <c r="B56" s="7" t="s">
        <v>28</v>
      </c>
      <c r="C56" s="7" t="s">
        <v>47</v>
      </c>
      <c r="D56" s="7" t="s">
        <v>53</v>
      </c>
      <c r="E56" s="7" t="s">
        <v>39</v>
      </c>
      <c r="F56" s="7" t="s">
        <v>131</v>
      </c>
      <c r="G56" s="7">
        <v>2020</v>
      </c>
      <c r="H56" s="7" t="str">
        <f>CONCATENATE("04780024131")</f>
        <v>04780024131</v>
      </c>
      <c r="I56" s="7" t="s">
        <v>30</v>
      </c>
      <c r="J56" s="7" t="s">
        <v>45</v>
      </c>
      <c r="K56" s="7" t="str">
        <f>CONCATENATE("221")</f>
        <v>221</v>
      </c>
      <c r="L56" s="7" t="str">
        <f>CONCATENATE("8 8.1 5e")</f>
        <v>8 8.1 5e</v>
      </c>
      <c r="M56" s="7" t="str">
        <f>CONCATENATE("RDNVNI46D63A271X")</f>
        <v>RDNVNI46D63A271X</v>
      </c>
      <c r="N56" s="7" t="s">
        <v>132</v>
      </c>
      <c r="O56" s="7" t="s">
        <v>116</v>
      </c>
      <c r="P56" s="8">
        <v>44243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1068.8</v>
      </c>
      <c r="W56" s="7">
        <v>460.87</v>
      </c>
      <c r="X56" s="7">
        <v>425.6</v>
      </c>
      <c r="Y56" s="7">
        <v>0</v>
      </c>
      <c r="Z56" s="7">
        <v>182.33</v>
      </c>
    </row>
    <row r="57" spans="1:26" ht="24.75" x14ac:dyDescent="0.25">
      <c r="A57" s="7" t="s">
        <v>27</v>
      </c>
      <c r="B57" s="7" t="s">
        <v>28</v>
      </c>
      <c r="C57" s="7" t="s">
        <v>47</v>
      </c>
      <c r="D57" s="7" t="s">
        <v>53</v>
      </c>
      <c r="E57" s="7" t="s">
        <v>29</v>
      </c>
      <c r="F57" s="7" t="s">
        <v>114</v>
      </c>
      <c r="G57" s="7">
        <v>2020</v>
      </c>
      <c r="H57" s="7" t="str">
        <f>CONCATENATE("04780013613")</f>
        <v>04780013613</v>
      </c>
      <c r="I57" s="7" t="s">
        <v>30</v>
      </c>
      <c r="J57" s="7" t="s">
        <v>45</v>
      </c>
      <c r="K57" s="7" t="str">
        <f>CONCATENATE("221")</f>
        <v>221</v>
      </c>
      <c r="L57" s="7" t="str">
        <f>CONCATENATE("8 8.1 5e")</f>
        <v>8 8.1 5e</v>
      </c>
      <c r="M57" s="7" t="str">
        <f>CONCATENATE("SBBSFN65B65D007N")</f>
        <v>SBBSFN65B65D007N</v>
      </c>
      <c r="N57" s="7" t="s">
        <v>133</v>
      </c>
      <c r="O57" s="7" t="s">
        <v>116</v>
      </c>
      <c r="P57" s="8">
        <v>44243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2773.8</v>
      </c>
      <c r="W57" s="9">
        <v>1196.06</v>
      </c>
      <c r="X57" s="9">
        <v>1104.53</v>
      </c>
      <c r="Y57" s="7">
        <v>0</v>
      </c>
      <c r="Z57" s="7">
        <v>473.21</v>
      </c>
    </row>
    <row r="58" spans="1:26" ht="24.75" x14ac:dyDescent="0.25">
      <c r="A58" s="7" t="s">
        <v>27</v>
      </c>
      <c r="B58" s="7" t="s">
        <v>28</v>
      </c>
      <c r="C58" s="7" t="s">
        <v>47</v>
      </c>
      <c r="D58" s="7" t="s">
        <v>53</v>
      </c>
      <c r="E58" s="7" t="s">
        <v>37</v>
      </c>
      <c r="F58" s="7" t="s">
        <v>60</v>
      </c>
      <c r="G58" s="7">
        <v>2020</v>
      </c>
      <c r="H58" s="7" t="str">
        <f>CONCATENATE("04780038297")</f>
        <v>04780038297</v>
      </c>
      <c r="I58" s="7" t="s">
        <v>30</v>
      </c>
      <c r="J58" s="7" t="s">
        <v>45</v>
      </c>
      <c r="K58" s="7" t="str">
        <f>CONCATENATE("221")</f>
        <v>221</v>
      </c>
      <c r="L58" s="7" t="str">
        <f>CONCATENATE("8 8.1 5e")</f>
        <v>8 8.1 5e</v>
      </c>
      <c r="M58" s="7" t="str">
        <f>CONCATENATE("01334510425")</f>
        <v>01334510425</v>
      </c>
      <c r="N58" s="7" t="s">
        <v>134</v>
      </c>
      <c r="O58" s="7" t="s">
        <v>116</v>
      </c>
      <c r="P58" s="8">
        <v>44243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9446.4</v>
      </c>
      <c r="W58" s="9">
        <v>4073.29</v>
      </c>
      <c r="X58" s="9">
        <v>3761.56</v>
      </c>
      <c r="Y58" s="7">
        <v>0</v>
      </c>
      <c r="Z58" s="9">
        <v>1611.55</v>
      </c>
    </row>
    <row r="59" spans="1:26" ht="24.75" x14ac:dyDescent="0.25">
      <c r="A59" s="7" t="s">
        <v>27</v>
      </c>
      <c r="B59" s="7" t="s">
        <v>28</v>
      </c>
      <c r="C59" s="7" t="s">
        <v>47</v>
      </c>
      <c r="D59" s="7" t="s">
        <v>53</v>
      </c>
      <c r="E59" s="7" t="s">
        <v>39</v>
      </c>
      <c r="F59" s="7" t="s">
        <v>122</v>
      </c>
      <c r="G59" s="7">
        <v>2020</v>
      </c>
      <c r="H59" s="7" t="str">
        <f>CONCATENATE("04780045052")</f>
        <v>04780045052</v>
      </c>
      <c r="I59" s="7" t="s">
        <v>30</v>
      </c>
      <c r="J59" s="7" t="s">
        <v>45</v>
      </c>
      <c r="K59" s="7" t="str">
        <f>CONCATENATE("221")</f>
        <v>221</v>
      </c>
      <c r="L59" s="7" t="str">
        <f>CONCATENATE("8 8.1 5e")</f>
        <v>8 8.1 5e</v>
      </c>
      <c r="M59" s="7" t="str">
        <f>CONCATENATE("MSCMRA35R70C704N")</f>
        <v>MSCMRA35R70C704N</v>
      </c>
      <c r="N59" s="7" t="s">
        <v>135</v>
      </c>
      <c r="O59" s="7" t="s">
        <v>116</v>
      </c>
      <c r="P59" s="8">
        <v>44243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2118.4</v>
      </c>
      <c r="W59" s="7">
        <v>913.45</v>
      </c>
      <c r="X59" s="7">
        <v>843.55</v>
      </c>
      <c r="Y59" s="7">
        <v>0</v>
      </c>
      <c r="Z59" s="7">
        <v>361.4</v>
      </c>
    </row>
    <row r="60" spans="1:26" ht="24.75" x14ac:dyDescent="0.25">
      <c r="A60" s="7" t="s">
        <v>27</v>
      </c>
      <c r="B60" s="7" t="s">
        <v>28</v>
      </c>
      <c r="C60" s="7" t="s">
        <v>47</v>
      </c>
      <c r="D60" s="7" t="s">
        <v>53</v>
      </c>
      <c r="E60" s="7" t="s">
        <v>38</v>
      </c>
      <c r="F60" s="7" t="s">
        <v>67</v>
      </c>
      <c r="G60" s="7">
        <v>2020</v>
      </c>
      <c r="H60" s="7" t="str">
        <f>CONCATENATE("04780005692")</f>
        <v>04780005692</v>
      </c>
      <c r="I60" s="7" t="s">
        <v>30</v>
      </c>
      <c r="J60" s="7" t="s">
        <v>45</v>
      </c>
      <c r="K60" s="7" t="str">
        <f>CONCATENATE("221")</f>
        <v>221</v>
      </c>
      <c r="L60" s="7" t="str">
        <f>CONCATENATE("8 8.1 5e")</f>
        <v>8 8.1 5e</v>
      </c>
      <c r="M60" s="7" t="str">
        <f>CONCATENATE("BRLMTT85R12A271M")</f>
        <v>BRLMTT85R12A271M</v>
      </c>
      <c r="N60" s="7" t="s">
        <v>136</v>
      </c>
      <c r="O60" s="7" t="s">
        <v>116</v>
      </c>
      <c r="P60" s="8">
        <v>44243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7">
        <v>811.33</v>
      </c>
      <c r="W60" s="7">
        <v>349.85</v>
      </c>
      <c r="X60" s="7">
        <v>323.07</v>
      </c>
      <c r="Y60" s="7">
        <v>0</v>
      </c>
      <c r="Z60" s="7">
        <v>138.41</v>
      </c>
    </row>
    <row r="61" spans="1:26" ht="24.75" x14ac:dyDescent="0.25">
      <c r="A61" s="7" t="s">
        <v>27</v>
      </c>
      <c r="B61" s="7" t="s">
        <v>28</v>
      </c>
      <c r="C61" s="7" t="s">
        <v>47</v>
      </c>
      <c r="D61" s="7" t="s">
        <v>53</v>
      </c>
      <c r="E61" s="7" t="s">
        <v>38</v>
      </c>
      <c r="F61" s="7" t="s">
        <v>124</v>
      </c>
      <c r="G61" s="7">
        <v>2020</v>
      </c>
      <c r="H61" s="7" t="str">
        <f>CONCATENATE("04780030062")</f>
        <v>04780030062</v>
      </c>
      <c r="I61" s="7" t="s">
        <v>30</v>
      </c>
      <c r="J61" s="7" t="s">
        <v>45</v>
      </c>
      <c r="K61" s="7" t="str">
        <f>CONCATENATE("221")</f>
        <v>221</v>
      </c>
      <c r="L61" s="7" t="str">
        <f>CONCATENATE("8 8.1 5e")</f>
        <v>8 8.1 5e</v>
      </c>
      <c r="M61" s="7" t="str">
        <f>CONCATENATE("TGNGNN87C16E388I")</f>
        <v>TGNGNN87C16E388I</v>
      </c>
      <c r="N61" s="7" t="s">
        <v>137</v>
      </c>
      <c r="O61" s="7" t="s">
        <v>116</v>
      </c>
      <c r="P61" s="8">
        <v>44243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7">
        <v>454.56</v>
      </c>
      <c r="W61" s="7">
        <v>196.01</v>
      </c>
      <c r="X61" s="7">
        <v>181.01</v>
      </c>
      <c r="Y61" s="7">
        <v>0</v>
      </c>
      <c r="Z61" s="7">
        <v>77.540000000000006</v>
      </c>
    </row>
    <row r="62" spans="1:26" ht="24.75" x14ac:dyDescent="0.25">
      <c r="A62" s="7" t="s">
        <v>27</v>
      </c>
      <c r="B62" s="7" t="s">
        <v>28</v>
      </c>
      <c r="C62" s="7" t="s">
        <v>47</v>
      </c>
      <c r="D62" s="7" t="s">
        <v>53</v>
      </c>
      <c r="E62" s="7" t="s">
        <v>39</v>
      </c>
      <c r="F62" s="7" t="s">
        <v>122</v>
      </c>
      <c r="G62" s="7">
        <v>2020</v>
      </c>
      <c r="H62" s="7" t="str">
        <f>CONCATENATE("04780044972")</f>
        <v>04780044972</v>
      </c>
      <c r="I62" s="7" t="s">
        <v>30</v>
      </c>
      <c r="J62" s="7" t="s">
        <v>45</v>
      </c>
      <c r="K62" s="7" t="str">
        <f>CONCATENATE("221")</f>
        <v>221</v>
      </c>
      <c r="L62" s="7" t="str">
        <f>CONCATENATE("8 8.1 5e")</f>
        <v>8 8.1 5e</v>
      </c>
      <c r="M62" s="7" t="str">
        <f>CONCATENATE("BGLVTR66M22C060O")</f>
        <v>BGLVTR66M22C060O</v>
      </c>
      <c r="N62" s="7" t="s">
        <v>138</v>
      </c>
      <c r="O62" s="7" t="s">
        <v>116</v>
      </c>
      <c r="P62" s="8">
        <v>44243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7">
        <v>244.48</v>
      </c>
      <c r="W62" s="7">
        <v>105.42</v>
      </c>
      <c r="X62" s="7">
        <v>97.35</v>
      </c>
      <c r="Y62" s="7">
        <v>0</v>
      </c>
      <c r="Z62" s="7">
        <v>41.71</v>
      </c>
    </row>
    <row r="63" spans="1:26" ht="24.75" x14ac:dyDescent="0.25">
      <c r="A63" s="7" t="s">
        <v>27</v>
      </c>
      <c r="B63" s="7" t="s">
        <v>28</v>
      </c>
      <c r="C63" s="7" t="s">
        <v>47</v>
      </c>
      <c r="D63" s="7" t="s">
        <v>53</v>
      </c>
      <c r="E63" s="7" t="s">
        <v>29</v>
      </c>
      <c r="F63" s="7" t="s">
        <v>114</v>
      </c>
      <c r="G63" s="7">
        <v>2020</v>
      </c>
      <c r="H63" s="7" t="str">
        <f>CONCATENATE("04780013589")</f>
        <v>04780013589</v>
      </c>
      <c r="I63" s="7" t="s">
        <v>30</v>
      </c>
      <c r="J63" s="7" t="s">
        <v>45</v>
      </c>
      <c r="K63" s="7" t="str">
        <f>CONCATENATE("221")</f>
        <v>221</v>
      </c>
      <c r="L63" s="7" t="str">
        <f>CONCATENATE("8 8.1 5e")</f>
        <v>8 8.1 5e</v>
      </c>
      <c r="M63" s="7" t="str">
        <f>CONCATENATE("PPNNNL70C04I608Z")</f>
        <v>PPNNNL70C04I608Z</v>
      </c>
      <c r="N63" s="7" t="s">
        <v>139</v>
      </c>
      <c r="O63" s="7" t="s">
        <v>116</v>
      </c>
      <c r="P63" s="8">
        <v>44243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8321.4</v>
      </c>
      <c r="W63" s="9">
        <v>3588.19</v>
      </c>
      <c r="X63" s="9">
        <v>3313.58</v>
      </c>
      <c r="Y63" s="7">
        <v>0</v>
      </c>
      <c r="Z63" s="9">
        <v>1419.63</v>
      </c>
    </row>
    <row r="64" spans="1:26" ht="24.75" x14ac:dyDescent="0.25">
      <c r="A64" s="7" t="s">
        <v>27</v>
      </c>
      <c r="B64" s="7" t="s">
        <v>28</v>
      </c>
      <c r="C64" s="7" t="s">
        <v>47</v>
      </c>
      <c r="D64" s="7" t="s">
        <v>53</v>
      </c>
      <c r="E64" s="7" t="s">
        <v>39</v>
      </c>
      <c r="F64" s="7" t="s">
        <v>140</v>
      </c>
      <c r="G64" s="7">
        <v>2020</v>
      </c>
      <c r="H64" s="7" t="str">
        <f>CONCATENATE("04780009066")</f>
        <v>04780009066</v>
      </c>
      <c r="I64" s="7" t="s">
        <v>30</v>
      </c>
      <c r="J64" s="7" t="s">
        <v>45</v>
      </c>
      <c r="K64" s="7" t="str">
        <f>CONCATENATE("221")</f>
        <v>221</v>
      </c>
      <c r="L64" s="7" t="str">
        <f>CONCATENATE("8 8.1 5e")</f>
        <v>8 8.1 5e</v>
      </c>
      <c r="M64" s="7" t="str">
        <f>CONCATENATE("SQDMRA48E52C770O")</f>
        <v>SQDMRA48E52C770O</v>
      </c>
      <c r="N64" s="7" t="s">
        <v>141</v>
      </c>
      <c r="O64" s="7" t="s">
        <v>116</v>
      </c>
      <c r="P64" s="8">
        <v>44243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7">
        <v>594</v>
      </c>
      <c r="W64" s="7">
        <v>256.13</v>
      </c>
      <c r="X64" s="7">
        <v>236.53</v>
      </c>
      <c r="Y64" s="7">
        <v>0</v>
      </c>
      <c r="Z64" s="7">
        <v>101.34</v>
      </c>
    </row>
    <row r="65" spans="1:26" ht="24.75" x14ac:dyDescent="0.25">
      <c r="A65" s="7" t="s">
        <v>27</v>
      </c>
      <c r="B65" s="7" t="s">
        <v>28</v>
      </c>
      <c r="C65" s="7" t="s">
        <v>47</v>
      </c>
      <c r="D65" s="7" t="s">
        <v>53</v>
      </c>
      <c r="E65" s="7" t="s">
        <v>38</v>
      </c>
      <c r="F65" s="7" t="s">
        <v>142</v>
      </c>
      <c r="G65" s="7">
        <v>2020</v>
      </c>
      <c r="H65" s="7" t="str">
        <f>CONCATENATE("04780004752")</f>
        <v>04780004752</v>
      </c>
      <c r="I65" s="7" t="s">
        <v>30</v>
      </c>
      <c r="J65" s="7" t="s">
        <v>45</v>
      </c>
      <c r="K65" s="7" t="str">
        <f>CONCATENATE("221")</f>
        <v>221</v>
      </c>
      <c r="L65" s="7" t="str">
        <f>CONCATENATE("8 8.1 5e")</f>
        <v>8 8.1 5e</v>
      </c>
      <c r="M65" s="7" t="str">
        <f>CONCATENATE("83005450420")</f>
        <v>83005450420</v>
      </c>
      <c r="N65" s="7" t="s">
        <v>143</v>
      </c>
      <c r="O65" s="7" t="s">
        <v>116</v>
      </c>
      <c r="P65" s="8">
        <v>44243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7">
        <v>90.5</v>
      </c>
      <c r="W65" s="7">
        <v>39.020000000000003</v>
      </c>
      <c r="X65" s="7">
        <v>36.04</v>
      </c>
      <c r="Y65" s="7">
        <v>0</v>
      </c>
      <c r="Z65" s="7">
        <v>15.44</v>
      </c>
    </row>
    <row r="66" spans="1:26" ht="24.75" x14ac:dyDescent="0.25">
      <c r="A66" s="7" t="s">
        <v>27</v>
      </c>
      <c r="B66" s="7" t="s">
        <v>28</v>
      </c>
      <c r="C66" s="7" t="s">
        <v>47</v>
      </c>
      <c r="D66" s="7" t="s">
        <v>53</v>
      </c>
      <c r="E66" s="7" t="s">
        <v>38</v>
      </c>
      <c r="F66" s="7" t="s">
        <v>89</v>
      </c>
      <c r="G66" s="7">
        <v>2020</v>
      </c>
      <c r="H66" s="7" t="str">
        <f>CONCATENATE("04780041630")</f>
        <v>04780041630</v>
      </c>
      <c r="I66" s="7" t="s">
        <v>30</v>
      </c>
      <c r="J66" s="7" t="s">
        <v>45</v>
      </c>
      <c r="K66" s="7" t="str">
        <f>CONCATENATE("221")</f>
        <v>221</v>
      </c>
      <c r="L66" s="7" t="str">
        <f>CONCATENATE("8 8.1 5e")</f>
        <v>8 8.1 5e</v>
      </c>
      <c r="M66" s="7" t="str">
        <f>CONCATENATE("MNTNRS42S41F051S")</f>
        <v>MNTNRS42S41F051S</v>
      </c>
      <c r="N66" s="7" t="s">
        <v>144</v>
      </c>
      <c r="O66" s="7" t="s">
        <v>116</v>
      </c>
      <c r="P66" s="8">
        <v>44243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7">
        <v>697.5</v>
      </c>
      <c r="W66" s="7">
        <v>300.76</v>
      </c>
      <c r="X66" s="7">
        <v>277.74</v>
      </c>
      <c r="Y66" s="7">
        <v>0</v>
      </c>
      <c r="Z66" s="7">
        <v>119</v>
      </c>
    </row>
    <row r="67" spans="1:26" ht="24.75" x14ac:dyDescent="0.25">
      <c r="A67" s="7" t="s">
        <v>27</v>
      </c>
      <c r="B67" s="7" t="s">
        <v>28</v>
      </c>
      <c r="C67" s="7" t="s">
        <v>47</v>
      </c>
      <c r="D67" s="7" t="s">
        <v>53</v>
      </c>
      <c r="E67" s="7" t="s">
        <v>29</v>
      </c>
      <c r="F67" s="7" t="s">
        <v>114</v>
      </c>
      <c r="G67" s="7">
        <v>2020</v>
      </c>
      <c r="H67" s="7" t="str">
        <f>CONCATENATE("04780013621")</f>
        <v>04780013621</v>
      </c>
      <c r="I67" s="7" t="s">
        <v>30</v>
      </c>
      <c r="J67" s="7" t="s">
        <v>45</v>
      </c>
      <c r="K67" s="7" t="str">
        <f>CONCATENATE("221")</f>
        <v>221</v>
      </c>
      <c r="L67" s="7" t="str">
        <f>CONCATENATE("8 8.1 5e")</f>
        <v>8 8.1 5e</v>
      </c>
      <c r="M67" s="7" t="str">
        <f>CONCATENATE("SNGNNA45M46I608K")</f>
        <v>SNGNNA45M46I608K</v>
      </c>
      <c r="N67" s="7" t="s">
        <v>145</v>
      </c>
      <c r="O67" s="7" t="s">
        <v>116</v>
      </c>
      <c r="P67" s="8">
        <v>44243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7">
        <v>588.79999999999995</v>
      </c>
      <c r="W67" s="7">
        <v>253.89</v>
      </c>
      <c r="X67" s="7">
        <v>234.46</v>
      </c>
      <c r="Y67" s="7">
        <v>0</v>
      </c>
      <c r="Z67" s="7">
        <v>100.45</v>
      </c>
    </row>
    <row r="68" spans="1:26" ht="24.75" x14ac:dyDescent="0.25">
      <c r="A68" s="7" t="s">
        <v>27</v>
      </c>
      <c r="B68" s="7" t="s">
        <v>36</v>
      </c>
      <c r="C68" s="7" t="s">
        <v>47</v>
      </c>
      <c r="D68" s="7" t="s">
        <v>53</v>
      </c>
      <c r="E68" s="7" t="s">
        <v>38</v>
      </c>
      <c r="F68" s="7" t="s">
        <v>78</v>
      </c>
      <c r="G68" s="7">
        <v>2017</v>
      </c>
      <c r="H68" s="7" t="str">
        <f>CONCATENATE("04270150545")</f>
        <v>04270150545</v>
      </c>
      <c r="I68" s="7" t="s">
        <v>30</v>
      </c>
      <c r="J68" s="7" t="s">
        <v>31</v>
      </c>
      <c r="K68" s="7" t="str">
        <f>CONCATENATE("")</f>
        <v/>
      </c>
      <c r="L68" s="7" t="str">
        <f>CONCATENATE("6 6.1 2b")</f>
        <v>6 6.1 2b</v>
      </c>
      <c r="M68" s="7" t="str">
        <f>CONCATENATE("PSRLCU97E28B474T")</f>
        <v>PSRLCU97E28B474T</v>
      </c>
      <c r="N68" s="7" t="s">
        <v>146</v>
      </c>
      <c r="O68" s="7" t="s">
        <v>147</v>
      </c>
      <c r="P68" s="8">
        <v>44238</v>
      </c>
      <c r="Q68" s="7" t="s">
        <v>32</v>
      </c>
      <c r="R68" s="7" t="s">
        <v>44</v>
      </c>
      <c r="S68" s="7" t="s">
        <v>34</v>
      </c>
      <c r="T68" s="7"/>
      <c r="U68" s="7" t="s">
        <v>35</v>
      </c>
      <c r="V68" s="9">
        <v>42000</v>
      </c>
      <c r="W68" s="9">
        <v>18110.400000000001</v>
      </c>
      <c r="X68" s="9">
        <v>16724.400000000001</v>
      </c>
      <c r="Y68" s="7">
        <v>0</v>
      </c>
      <c r="Z68" s="9">
        <v>7165.2</v>
      </c>
    </row>
    <row r="69" spans="1:26" x14ac:dyDescent="0.25">
      <c r="A69" s="7" t="s">
        <v>27</v>
      </c>
      <c r="B69" s="7" t="s">
        <v>36</v>
      </c>
      <c r="C69" s="7" t="s">
        <v>47</v>
      </c>
      <c r="D69" s="7" t="s">
        <v>48</v>
      </c>
      <c r="E69" s="7" t="s">
        <v>41</v>
      </c>
      <c r="F69" s="7" t="s">
        <v>41</v>
      </c>
      <c r="G69" s="7">
        <v>2017</v>
      </c>
      <c r="H69" s="7" t="str">
        <f>CONCATENATE("94270174694")</f>
        <v>94270174694</v>
      </c>
      <c r="I69" s="7" t="s">
        <v>30</v>
      </c>
      <c r="J69" s="7" t="s">
        <v>31</v>
      </c>
      <c r="K69" s="7" t="str">
        <f>CONCATENATE("")</f>
        <v/>
      </c>
      <c r="L69" s="7" t="str">
        <f>CONCATENATE("16 16.8 5e")</f>
        <v>16 16.8 5e</v>
      </c>
      <c r="M69" s="7" t="str">
        <f>CONCATENATE("01874330432")</f>
        <v>01874330432</v>
      </c>
      <c r="N69" s="7" t="s">
        <v>148</v>
      </c>
      <c r="O69" s="7" t="s">
        <v>149</v>
      </c>
      <c r="P69" s="8">
        <v>44240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76119.77</v>
      </c>
      <c r="W69" s="9">
        <v>32822.839999999997</v>
      </c>
      <c r="X69" s="9">
        <v>30310.89</v>
      </c>
      <c r="Y69" s="7">
        <v>0</v>
      </c>
      <c r="Z69" s="9">
        <v>12986.04</v>
      </c>
    </row>
    <row r="70" spans="1:26" x14ac:dyDescent="0.25">
      <c r="A70" s="7" t="s">
        <v>27</v>
      </c>
      <c r="B70" s="7" t="s">
        <v>36</v>
      </c>
      <c r="C70" s="7" t="s">
        <v>47</v>
      </c>
      <c r="D70" s="7" t="s">
        <v>47</v>
      </c>
      <c r="E70" s="7" t="s">
        <v>41</v>
      </c>
      <c r="F70" s="7" t="s">
        <v>41</v>
      </c>
      <c r="G70" s="7">
        <v>2017</v>
      </c>
      <c r="H70" s="7" t="str">
        <f>CONCATENATE("04270232137")</f>
        <v>04270232137</v>
      </c>
      <c r="I70" s="7" t="s">
        <v>30</v>
      </c>
      <c r="J70" s="7" t="s">
        <v>31</v>
      </c>
      <c r="K70" s="7" t="str">
        <f>CONCATENATE("")</f>
        <v/>
      </c>
      <c r="L70" s="7" t="str">
        <f>CONCATENATE("19 19.2 6b")</f>
        <v>19 19.2 6b</v>
      </c>
      <c r="M70" s="7" t="str">
        <f>CONCATENATE("81002030443")</f>
        <v>81002030443</v>
      </c>
      <c r="N70" s="7" t="s">
        <v>150</v>
      </c>
      <c r="O70" s="7" t="s">
        <v>151</v>
      </c>
      <c r="P70" s="8">
        <v>44238</v>
      </c>
      <c r="Q70" s="7" t="s">
        <v>32</v>
      </c>
      <c r="R70" s="7" t="s">
        <v>44</v>
      </c>
      <c r="S70" s="7" t="s">
        <v>34</v>
      </c>
      <c r="T70" s="7"/>
      <c r="U70" s="7" t="s">
        <v>35</v>
      </c>
      <c r="V70" s="9">
        <v>16710.54</v>
      </c>
      <c r="W70" s="9">
        <v>7205.58</v>
      </c>
      <c r="X70" s="9">
        <v>6654.14</v>
      </c>
      <c r="Y70" s="7">
        <v>0</v>
      </c>
      <c r="Z70" s="9">
        <v>2850.82</v>
      </c>
    </row>
    <row r="71" spans="1:26" x14ac:dyDescent="0.25">
      <c r="A71" s="7" t="s">
        <v>27</v>
      </c>
      <c r="B71" s="7" t="s">
        <v>36</v>
      </c>
      <c r="C71" s="7" t="s">
        <v>47</v>
      </c>
      <c r="D71" s="7" t="s">
        <v>48</v>
      </c>
      <c r="E71" s="7" t="s">
        <v>38</v>
      </c>
      <c r="F71" s="7" t="s">
        <v>49</v>
      </c>
      <c r="G71" s="7">
        <v>2017</v>
      </c>
      <c r="H71" s="7" t="str">
        <f>CONCATENATE("04270232020")</f>
        <v>04270232020</v>
      </c>
      <c r="I71" s="7" t="s">
        <v>30</v>
      </c>
      <c r="J71" s="7" t="s">
        <v>31</v>
      </c>
      <c r="K71" s="7" t="str">
        <f>CONCATENATE("")</f>
        <v/>
      </c>
      <c r="L71" s="7" t="str">
        <f>CONCATENATE("4 4.4 4c")</f>
        <v>4 4.4 4c</v>
      </c>
      <c r="M71" s="7" t="str">
        <f>CONCATENATE("SNTFNC78R54D653N")</f>
        <v>SNTFNC78R54D653N</v>
      </c>
      <c r="N71" s="7" t="s">
        <v>152</v>
      </c>
      <c r="O71" s="7" t="s">
        <v>153</v>
      </c>
      <c r="P71" s="8">
        <v>44238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9">
        <v>2700</v>
      </c>
      <c r="W71" s="9">
        <v>1164.24</v>
      </c>
      <c r="X71" s="9">
        <v>1075.1400000000001</v>
      </c>
      <c r="Y71" s="7">
        <v>0</v>
      </c>
      <c r="Z71" s="7">
        <v>460.62</v>
      </c>
    </row>
    <row r="72" spans="1:26" ht="24.75" x14ac:dyDescent="0.25">
      <c r="A72" s="7" t="s">
        <v>27</v>
      </c>
      <c r="B72" s="7" t="s">
        <v>28</v>
      </c>
      <c r="C72" s="7" t="s">
        <v>47</v>
      </c>
      <c r="D72" s="7" t="s">
        <v>53</v>
      </c>
      <c r="E72" s="7" t="s">
        <v>154</v>
      </c>
      <c r="F72" s="7" t="s">
        <v>155</v>
      </c>
      <c r="G72" s="7">
        <v>2016</v>
      </c>
      <c r="H72" s="7" t="str">
        <f>CONCATENATE("64780007031")</f>
        <v>64780007031</v>
      </c>
      <c r="I72" s="7" t="s">
        <v>30</v>
      </c>
      <c r="J72" s="7" t="s">
        <v>45</v>
      </c>
      <c r="K72" s="7" t="str">
        <f>CONCATENATE("221")</f>
        <v>221</v>
      </c>
      <c r="L72" s="7" t="str">
        <f>CONCATENATE("8 8.1 5e")</f>
        <v>8 8.1 5e</v>
      </c>
      <c r="M72" s="7" t="str">
        <f>CONCATENATE("SGRPRZ51R58F453Q")</f>
        <v>SGRPRZ51R58F453Q</v>
      </c>
      <c r="N72" s="7" t="s">
        <v>156</v>
      </c>
      <c r="O72" s="7" t="s">
        <v>157</v>
      </c>
      <c r="P72" s="8">
        <v>44243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7">
        <v>170.14</v>
      </c>
      <c r="W72" s="7">
        <v>73.36</v>
      </c>
      <c r="X72" s="7">
        <v>67.75</v>
      </c>
      <c r="Y72" s="7">
        <v>0</v>
      </c>
      <c r="Z72" s="7">
        <v>29.03</v>
      </c>
    </row>
    <row r="73" spans="1:26" ht="24.75" x14ac:dyDescent="0.25">
      <c r="A73" s="7" t="s">
        <v>27</v>
      </c>
      <c r="B73" s="7" t="s">
        <v>28</v>
      </c>
      <c r="C73" s="7" t="s">
        <v>47</v>
      </c>
      <c r="D73" s="7" t="s">
        <v>53</v>
      </c>
      <c r="E73" s="7" t="s">
        <v>38</v>
      </c>
      <c r="F73" s="7" t="s">
        <v>58</v>
      </c>
      <c r="G73" s="7">
        <v>2016</v>
      </c>
      <c r="H73" s="7" t="str">
        <f>CONCATENATE("64780063414")</f>
        <v>64780063414</v>
      </c>
      <c r="I73" s="7" t="s">
        <v>30</v>
      </c>
      <c r="J73" s="7" t="s">
        <v>45</v>
      </c>
      <c r="K73" s="7" t="str">
        <f>CONCATENATE("221")</f>
        <v>221</v>
      </c>
      <c r="L73" s="7" t="str">
        <f>CONCATENATE("8 8.1 5e")</f>
        <v>8 8.1 5e</v>
      </c>
      <c r="M73" s="7" t="str">
        <f>CONCATENATE("RSSFCM85H28E388E")</f>
        <v>RSSFCM85H28E388E</v>
      </c>
      <c r="N73" s="7" t="s">
        <v>59</v>
      </c>
      <c r="O73" s="7" t="s">
        <v>157</v>
      </c>
      <c r="P73" s="8">
        <v>44243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7">
        <v>179.29</v>
      </c>
      <c r="W73" s="7">
        <v>77.31</v>
      </c>
      <c r="X73" s="7">
        <v>71.39</v>
      </c>
      <c r="Y73" s="7">
        <v>0</v>
      </c>
      <c r="Z73" s="7">
        <v>30.59</v>
      </c>
    </row>
    <row r="74" spans="1:26" ht="24.75" x14ac:dyDescent="0.25">
      <c r="A74" s="7" t="s">
        <v>27</v>
      </c>
      <c r="B74" s="7" t="s">
        <v>28</v>
      </c>
      <c r="C74" s="7" t="s">
        <v>47</v>
      </c>
      <c r="D74" s="7" t="s">
        <v>53</v>
      </c>
      <c r="E74" s="7" t="s">
        <v>37</v>
      </c>
      <c r="F74" s="7" t="s">
        <v>60</v>
      </c>
      <c r="G74" s="7">
        <v>2016</v>
      </c>
      <c r="H74" s="7" t="str">
        <f>CONCATENATE("64780082208")</f>
        <v>64780082208</v>
      </c>
      <c r="I74" s="7" t="s">
        <v>30</v>
      </c>
      <c r="J74" s="7" t="s">
        <v>45</v>
      </c>
      <c r="K74" s="7" t="str">
        <f>CONCATENATE("221")</f>
        <v>221</v>
      </c>
      <c r="L74" s="7" t="str">
        <f>CONCATENATE("8 8.1 5e")</f>
        <v>8 8.1 5e</v>
      </c>
      <c r="M74" s="7" t="str">
        <f>CONCATENATE("01381030426")</f>
        <v>01381030426</v>
      </c>
      <c r="N74" s="7" t="s">
        <v>158</v>
      </c>
      <c r="O74" s="7" t="s">
        <v>157</v>
      </c>
      <c r="P74" s="8">
        <v>44243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9">
        <v>2117.56</v>
      </c>
      <c r="W74" s="7">
        <v>913.09</v>
      </c>
      <c r="X74" s="7">
        <v>843.21</v>
      </c>
      <c r="Y74" s="7">
        <v>0</v>
      </c>
      <c r="Z74" s="7">
        <v>361.26</v>
      </c>
    </row>
    <row r="75" spans="1:26" ht="24.75" x14ac:dyDescent="0.25">
      <c r="A75" s="7" t="s">
        <v>27</v>
      </c>
      <c r="B75" s="7" t="s">
        <v>28</v>
      </c>
      <c r="C75" s="7" t="s">
        <v>47</v>
      </c>
      <c r="D75" s="7" t="s">
        <v>53</v>
      </c>
      <c r="E75" s="7" t="s">
        <v>29</v>
      </c>
      <c r="F75" s="7" t="s">
        <v>114</v>
      </c>
      <c r="G75" s="7">
        <v>2016</v>
      </c>
      <c r="H75" s="7" t="str">
        <f>CONCATENATE("64780023012")</f>
        <v>64780023012</v>
      </c>
      <c r="I75" s="7" t="s">
        <v>30</v>
      </c>
      <c r="J75" s="7" t="s">
        <v>45</v>
      </c>
      <c r="K75" s="7" t="str">
        <f>CONCATENATE("221")</f>
        <v>221</v>
      </c>
      <c r="L75" s="7" t="str">
        <f>CONCATENATE("8 8.1 5e")</f>
        <v>8 8.1 5e</v>
      </c>
      <c r="M75" s="7" t="str">
        <f>CONCATENATE("02621480421")</f>
        <v>02621480421</v>
      </c>
      <c r="N75" s="7" t="s">
        <v>159</v>
      </c>
      <c r="O75" s="7" t="s">
        <v>157</v>
      </c>
      <c r="P75" s="8">
        <v>44243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7">
        <v>148.5</v>
      </c>
      <c r="W75" s="7">
        <v>64.03</v>
      </c>
      <c r="X75" s="7">
        <v>59.13</v>
      </c>
      <c r="Y75" s="7">
        <v>0</v>
      </c>
      <c r="Z75" s="7">
        <v>25.34</v>
      </c>
    </row>
    <row r="76" spans="1:26" ht="24.75" x14ac:dyDescent="0.25">
      <c r="A76" s="7" t="s">
        <v>27</v>
      </c>
      <c r="B76" s="7" t="s">
        <v>28</v>
      </c>
      <c r="C76" s="7" t="s">
        <v>47</v>
      </c>
      <c r="D76" s="7" t="s">
        <v>53</v>
      </c>
      <c r="E76" s="7" t="s">
        <v>29</v>
      </c>
      <c r="F76" s="7" t="s">
        <v>114</v>
      </c>
      <c r="G76" s="7">
        <v>2016</v>
      </c>
      <c r="H76" s="7" t="str">
        <f>CONCATENATE("64780023046")</f>
        <v>64780023046</v>
      </c>
      <c r="I76" s="7" t="s">
        <v>30</v>
      </c>
      <c r="J76" s="7" t="s">
        <v>45</v>
      </c>
      <c r="K76" s="7" t="str">
        <f>CONCATENATE("221")</f>
        <v>221</v>
      </c>
      <c r="L76" s="7" t="str">
        <f>CONCATENATE("8 8.1 5e")</f>
        <v>8 8.1 5e</v>
      </c>
      <c r="M76" s="7" t="str">
        <f>CONCATENATE("02621480421")</f>
        <v>02621480421</v>
      </c>
      <c r="N76" s="7" t="s">
        <v>159</v>
      </c>
      <c r="O76" s="7" t="s">
        <v>157</v>
      </c>
      <c r="P76" s="8">
        <v>44243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7">
        <v>181.1</v>
      </c>
      <c r="W76" s="7">
        <v>78.09</v>
      </c>
      <c r="X76" s="7">
        <v>72.11</v>
      </c>
      <c r="Y76" s="7">
        <v>0</v>
      </c>
      <c r="Z76" s="7">
        <v>30.9</v>
      </c>
    </row>
    <row r="77" spans="1:26" ht="24.75" x14ac:dyDescent="0.25">
      <c r="A77" s="7" t="s">
        <v>27</v>
      </c>
      <c r="B77" s="7" t="s">
        <v>28</v>
      </c>
      <c r="C77" s="7" t="s">
        <v>47</v>
      </c>
      <c r="D77" s="7" t="s">
        <v>53</v>
      </c>
      <c r="E77" s="7" t="s">
        <v>38</v>
      </c>
      <c r="F77" s="7" t="s">
        <v>58</v>
      </c>
      <c r="G77" s="7">
        <v>2016</v>
      </c>
      <c r="H77" s="7" t="str">
        <f>CONCATENATE("64780064073")</f>
        <v>64780064073</v>
      </c>
      <c r="I77" s="7" t="s">
        <v>30</v>
      </c>
      <c r="J77" s="7" t="s">
        <v>45</v>
      </c>
      <c r="K77" s="7" t="str">
        <f>CONCATENATE("221")</f>
        <v>221</v>
      </c>
      <c r="L77" s="7" t="str">
        <f>CONCATENATE("8 8.1 5e")</f>
        <v>8 8.1 5e</v>
      </c>
      <c r="M77" s="7" t="str">
        <f>CONCATENATE("BRMRTI55H47G771E")</f>
        <v>BRMRTI55H47G771E</v>
      </c>
      <c r="N77" s="7" t="s">
        <v>160</v>
      </c>
      <c r="O77" s="7" t="s">
        <v>157</v>
      </c>
      <c r="P77" s="8">
        <v>44243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7">
        <v>251</v>
      </c>
      <c r="W77" s="7">
        <v>108.23</v>
      </c>
      <c r="X77" s="7">
        <v>99.95</v>
      </c>
      <c r="Y77" s="7">
        <v>0</v>
      </c>
      <c r="Z77" s="7">
        <v>42.82</v>
      </c>
    </row>
    <row r="78" spans="1:26" ht="24.75" x14ac:dyDescent="0.25">
      <c r="A78" s="7" t="s">
        <v>27</v>
      </c>
      <c r="B78" s="7" t="s">
        <v>28</v>
      </c>
      <c r="C78" s="7" t="s">
        <v>47</v>
      </c>
      <c r="D78" s="7" t="s">
        <v>53</v>
      </c>
      <c r="E78" s="7" t="s">
        <v>38</v>
      </c>
      <c r="F78" s="7" t="s">
        <v>62</v>
      </c>
      <c r="G78" s="7">
        <v>2016</v>
      </c>
      <c r="H78" s="7" t="str">
        <f>CONCATENATE("64780079055")</f>
        <v>64780079055</v>
      </c>
      <c r="I78" s="7" t="s">
        <v>30</v>
      </c>
      <c r="J78" s="7" t="s">
        <v>45</v>
      </c>
      <c r="K78" s="7" t="str">
        <f>CONCATENATE("221")</f>
        <v>221</v>
      </c>
      <c r="L78" s="7" t="str">
        <f>CONCATENATE("8 8.1 5e")</f>
        <v>8 8.1 5e</v>
      </c>
      <c r="M78" s="7" t="str">
        <f>CONCATENATE("GLDGLN68R27E507K")</f>
        <v>GLDGLN68R27E507K</v>
      </c>
      <c r="N78" s="7" t="s">
        <v>63</v>
      </c>
      <c r="O78" s="7" t="s">
        <v>157</v>
      </c>
      <c r="P78" s="8">
        <v>44243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7">
        <v>346.07</v>
      </c>
      <c r="W78" s="7">
        <v>149.22999999999999</v>
      </c>
      <c r="X78" s="7">
        <v>137.81</v>
      </c>
      <c r="Y78" s="7">
        <v>0</v>
      </c>
      <c r="Z78" s="7">
        <v>59.03</v>
      </c>
    </row>
    <row r="79" spans="1:26" ht="24.75" x14ac:dyDescent="0.25">
      <c r="A79" s="7" t="s">
        <v>27</v>
      </c>
      <c r="B79" s="7" t="s">
        <v>28</v>
      </c>
      <c r="C79" s="7" t="s">
        <v>47</v>
      </c>
      <c r="D79" s="7" t="s">
        <v>53</v>
      </c>
      <c r="E79" s="7" t="s">
        <v>37</v>
      </c>
      <c r="F79" s="7" t="s">
        <v>60</v>
      </c>
      <c r="G79" s="7">
        <v>2016</v>
      </c>
      <c r="H79" s="7" t="str">
        <f>CONCATENATE("64780080848")</f>
        <v>64780080848</v>
      </c>
      <c r="I79" s="7" t="s">
        <v>30</v>
      </c>
      <c r="J79" s="7" t="s">
        <v>45</v>
      </c>
      <c r="K79" s="7" t="str">
        <f>CONCATENATE("221")</f>
        <v>221</v>
      </c>
      <c r="L79" s="7" t="str">
        <f>CONCATENATE("8 8.1 5e")</f>
        <v>8 8.1 5e</v>
      </c>
      <c r="M79" s="7" t="str">
        <f>CONCATENATE("01381030426")</f>
        <v>01381030426</v>
      </c>
      <c r="N79" s="7" t="s">
        <v>158</v>
      </c>
      <c r="O79" s="7" t="s">
        <v>157</v>
      </c>
      <c r="P79" s="8">
        <v>44243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2161.0300000000002</v>
      </c>
      <c r="W79" s="7">
        <v>931.84</v>
      </c>
      <c r="X79" s="7">
        <v>860.52</v>
      </c>
      <c r="Y79" s="7">
        <v>0</v>
      </c>
      <c r="Z79" s="7">
        <v>368.67</v>
      </c>
    </row>
    <row r="80" spans="1:26" ht="24.75" x14ac:dyDescent="0.25">
      <c r="A80" s="7" t="s">
        <v>27</v>
      </c>
      <c r="B80" s="7" t="s">
        <v>28</v>
      </c>
      <c r="C80" s="7" t="s">
        <v>47</v>
      </c>
      <c r="D80" s="7" t="s">
        <v>161</v>
      </c>
      <c r="E80" s="7" t="s">
        <v>40</v>
      </c>
      <c r="F80" s="7" t="s">
        <v>162</v>
      </c>
      <c r="G80" s="7">
        <v>2020</v>
      </c>
      <c r="H80" s="7" t="str">
        <f>CONCATENATE("04780041903")</f>
        <v>04780041903</v>
      </c>
      <c r="I80" s="7" t="s">
        <v>30</v>
      </c>
      <c r="J80" s="7" t="s">
        <v>45</v>
      </c>
      <c r="K80" s="7" t="str">
        <f>CONCATENATE("221")</f>
        <v>221</v>
      </c>
      <c r="L80" s="7" t="str">
        <f>CONCATENATE("8 8.1 5e")</f>
        <v>8 8.1 5e</v>
      </c>
      <c r="M80" s="7" t="str">
        <f>CONCATENATE("BLSFRT67C53H199B")</f>
        <v>BLSFRT67C53H199B</v>
      </c>
      <c r="N80" s="7" t="s">
        <v>163</v>
      </c>
      <c r="O80" s="7" t="s">
        <v>164</v>
      </c>
      <c r="P80" s="8">
        <v>44243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7">
        <v>326.01</v>
      </c>
      <c r="W80" s="7">
        <v>140.58000000000001</v>
      </c>
      <c r="X80" s="7">
        <v>129.82</v>
      </c>
      <c r="Y80" s="7">
        <v>0</v>
      </c>
      <c r="Z80" s="7">
        <v>55.61</v>
      </c>
    </row>
    <row r="81" spans="1:26" x14ac:dyDescent="0.25">
      <c r="A81" s="7" t="s">
        <v>27</v>
      </c>
      <c r="B81" s="7" t="s">
        <v>36</v>
      </c>
      <c r="C81" s="7" t="s">
        <v>47</v>
      </c>
      <c r="D81" s="7" t="s">
        <v>48</v>
      </c>
      <c r="E81" s="7" t="s">
        <v>38</v>
      </c>
      <c r="F81" s="7" t="s">
        <v>49</v>
      </c>
      <c r="G81" s="7">
        <v>2017</v>
      </c>
      <c r="H81" s="7" t="str">
        <f>CONCATENATE("04270232038")</f>
        <v>04270232038</v>
      </c>
      <c r="I81" s="7" t="s">
        <v>30</v>
      </c>
      <c r="J81" s="7" t="s">
        <v>31</v>
      </c>
      <c r="K81" s="7" t="str">
        <f>CONCATENATE("")</f>
        <v/>
      </c>
      <c r="L81" s="7" t="str">
        <f>CONCATENATE("4 4.4 4c")</f>
        <v>4 4.4 4c</v>
      </c>
      <c r="M81" s="7" t="str">
        <f>CONCATENATE("01988740435")</f>
        <v>01988740435</v>
      </c>
      <c r="N81" s="7" t="s">
        <v>165</v>
      </c>
      <c r="O81" s="7" t="s">
        <v>153</v>
      </c>
      <c r="P81" s="8">
        <v>44238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9">
        <v>4950</v>
      </c>
      <c r="W81" s="9">
        <v>2134.44</v>
      </c>
      <c r="X81" s="9">
        <v>1971.09</v>
      </c>
      <c r="Y81" s="7">
        <v>0</v>
      </c>
      <c r="Z81" s="7">
        <v>844.47</v>
      </c>
    </row>
    <row r="82" spans="1:26" ht="24.75" x14ac:dyDescent="0.25">
      <c r="A82" s="7" t="s">
        <v>27</v>
      </c>
      <c r="B82" s="7" t="s">
        <v>28</v>
      </c>
      <c r="C82" s="7" t="s">
        <v>47</v>
      </c>
      <c r="D82" s="7" t="s">
        <v>53</v>
      </c>
      <c r="E82" s="7" t="s">
        <v>39</v>
      </c>
      <c r="F82" s="7" t="s">
        <v>131</v>
      </c>
      <c r="G82" s="7">
        <v>2016</v>
      </c>
      <c r="H82" s="7" t="str">
        <f>CONCATENATE("64780012072")</f>
        <v>64780012072</v>
      </c>
      <c r="I82" s="7" t="s">
        <v>42</v>
      </c>
      <c r="J82" s="7" t="s">
        <v>45</v>
      </c>
      <c r="K82" s="7" t="str">
        <f>CONCATENATE("221")</f>
        <v>221</v>
      </c>
      <c r="L82" s="7" t="str">
        <f>CONCATENATE("8 8.1 5e")</f>
        <v>8 8.1 5e</v>
      </c>
      <c r="M82" s="7" t="str">
        <f>CONCATENATE("CRLFLV71M07A271R")</f>
        <v>CRLFLV71M07A271R</v>
      </c>
      <c r="N82" s="7" t="s">
        <v>166</v>
      </c>
      <c r="O82" s="7" t="s">
        <v>157</v>
      </c>
      <c r="P82" s="8">
        <v>44243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7">
        <v>590.05999999999995</v>
      </c>
      <c r="W82" s="7">
        <v>254.43</v>
      </c>
      <c r="X82" s="7">
        <v>234.96</v>
      </c>
      <c r="Y82" s="7">
        <v>0</v>
      </c>
      <c r="Z82" s="7">
        <v>100.67</v>
      </c>
    </row>
    <row r="83" spans="1:26" ht="24.75" x14ac:dyDescent="0.25">
      <c r="A83" s="7" t="s">
        <v>27</v>
      </c>
      <c r="B83" s="7" t="s">
        <v>28</v>
      </c>
      <c r="C83" s="7" t="s">
        <v>47</v>
      </c>
      <c r="D83" s="7" t="s">
        <v>53</v>
      </c>
      <c r="E83" s="7" t="s">
        <v>38</v>
      </c>
      <c r="F83" s="7" t="s">
        <v>89</v>
      </c>
      <c r="G83" s="7">
        <v>2016</v>
      </c>
      <c r="H83" s="7" t="str">
        <f>CONCATENATE("64780077232")</f>
        <v>64780077232</v>
      </c>
      <c r="I83" s="7" t="s">
        <v>30</v>
      </c>
      <c r="J83" s="7" t="s">
        <v>45</v>
      </c>
      <c r="K83" s="7" t="str">
        <f>CONCATENATE("221")</f>
        <v>221</v>
      </c>
      <c r="L83" s="7" t="str">
        <f>CONCATENATE("8 8.1 5e")</f>
        <v>8 8.1 5e</v>
      </c>
      <c r="M83" s="7" t="str">
        <f>CONCATENATE("MNTDOA54D64B474U")</f>
        <v>MNTDOA54D64B474U</v>
      </c>
      <c r="N83" s="7" t="s">
        <v>167</v>
      </c>
      <c r="O83" s="7" t="s">
        <v>157</v>
      </c>
      <c r="P83" s="8">
        <v>44243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7">
        <v>468.43</v>
      </c>
      <c r="W83" s="7">
        <v>201.99</v>
      </c>
      <c r="X83" s="7">
        <v>186.53</v>
      </c>
      <c r="Y83" s="7">
        <v>0</v>
      </c>
      <c r="Z83" s="7">
        <v>79.91</v>
      </c>
    </row>
    <row r="84" spans="1:26" ht="24.75" x14ac:dyDescent="0.25">
      <c r="A84" s="7" t="s">
        <v>27</v>
      </c>
      <c r="B84" s="7" t="s">
        <v>28</v>
      </c>
      <c r="C84" s="7" t="s">
        <v>47</v>
      </c>
      <c r="D84" s="7" t="s">
        <v>53</v>
      </c>
      <c r="E84" s="7" t="s">
        <v>38</v>
      </c>
      <c r="F84" s="7" t="s">
        <v>124</v>
      </c>
      <c r="G84" s="7">
        <v>2016</v>
      </c>
      <c r="H84" s="7" t="str">
        <f>CONCATENATE("64780075749")</f>
        <v>64780075749</v>
      </c>
      <c r="I84" s="7" t="s">
        <v>30</v>
      </c>
      <c r="J84" s="7" t="s">
        <v>45</v>
      </c>
      <c r="K84" s="7" t="str">
        <f>CONCATENATE("221")</f>
        <v>221</v>
      </c>
      <c r="L84" s="7" t="str">
        <f>CONCATENATE("8 8.1 5e")</f>
        <v>8 8.1 5e</v>
      </c>
      <c r="M84" s="7" t="str">
        <f>CONCATENATE("CTLCRL63B10A271D")</f>
        <v>CTLCRL63B10A271D</v>
      </c>
      <c r="N84" s="7" t="s">
        <v>168</v>
      </c>
      <c r="O84" s="7" t="s">
        <v>157</v>
      </c>
      <c r="P84" s="8">
        <v>44243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7">
        <v>165.05</v>
      </c>
      <c r="W84" s="7">
        <v>71.17</v>
      </c>
      <c r="X84" s="7">
        <v>65.72</v>
      </c>
      <c r="Y84" s="7">
        <v>0</v>
      </c>
      <c r="Z84" s="7">
        <v>28.16</v>
      </c>
    </row>
    <row r="85" spans="1:26" x14ac:dyDescent="0.25">
      <c r="A85" s="7" t="s">
        <v>27</v>
      </c>
      <c r="B85" s="7" t="s">
        <v>28</v>
      </c>
      <c r="C85" s="7" t="s">
        <v>47</v>
      </c>
      <c r="D85" s="7" t="s">
        <v>48</v>
      </c>
      <c r="E85" s="7" t="s">
        <v>39</v>
      </c>
      <c r="F85" s="7" t="s">
        <v>169</v>
      </c>
      <c r="G85" s="7">
        <v>2018</v>
      </c>
      <c r="H85" s="7" t="str">
        <f>CONCATENATE("84780069997")</f>
        <v>84780069997</v>
      </c>
      <c r="I85" s="7" t="s">
        <v>42</v>
      </c>
      <c r="J85" s="7" t="s">
        <v>45</v>
      </c>
      <c r="K85" s="7" t="str">
        <f>CONCATENATE("221")</f>
        <v>221</v>
      </c>
      <c r="L85" s="7" t="str">
        <f>CONCATENATE("8 8.1 5e")</f>
        <v>8 8.1 5e</v>
      </c>
      <c r="M85" s="7" t="str">
        <f>CONCATENATE("PPVGRI67S10Z154V")</f>
        <v>PPVGRI67S10Z154V</v>
      </c>
      <c r="N85" s="7" t="s">
        <v>170</v>
      </c>
      <c r="O85" s="7" t="s">
        <v>171</v>
      </c>
      <c r="P85" s="8">
        <v>44243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7">
        <v>136.55000000000001</v>
      </c>
      <c r="W85" s="7">
        <v>58.88</v>
      </c>
      <c r="X85" s="7">
        <v>54.37</v>
      </c>
      <c r="Y85" s="7">
        <v>0</v>
      </c>
      <c r="Z85" s="7">
        <v>23.3</v>
      </c>
    </row>
    <row r="86" spans="1:26" x14ac:dyDescent="0.25">
      <c r="A86" s="7" t="s">
        <v>27</v>
      </c>
      <c r="B86" s="7" t="s">
        <v>28</v>
      </c>
      <c r="C86" s="7" t="s">
        <v>47</v>
      </c>
      <c r="D86" s="7" t="s">
        <v>48</v>
      </c>
      <c r="E86" s="7" t="s">
        <v>38</v>
      </c>
      <c r="F86" s="7" t="s">
        <v>78</v>
      </c>
      <c r="G86" s="7">
        <v>2018</v>
      </c>
      <c r="H86" s="7" t="str">
        <f>CONCATENATE("84780067892")</f>
        <v>84780067892</v>
      </c>
      <c r="I86" s="7" t="s">
        <v>30</v>
      </c>
      <c r="J86" s="7" t="s">
        <v>45</v>
      </c>
      <c r="K86" s="7" t="str">
        <f>CONCATENATE("221")</f>
        <v>221</v>
      </c>
      <c r="L86" s="7" t="str">
        <f>CONCATENATE("8 8.1 5e")</f>
        <v>8 8.1 5e</v>
      </c>
      <c r="M86" s="7" t="str">
        <f>CONCATENATE("01909520437")</f>
        <v>01909520437</v>
      </c>
      <c r="N86" s="7" t="s">
        <v>172</v>
      </c>
      <c r="O86" s="7" t="s">
        <v>171</v>
      </c>
      <c r="P86" s="8">
        <v>44243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7">
        <v>315.39999999999998</v>
      </c>
      <c r="W86" s="7">
        <v>136</v>
      </c>
      <c r="X86" s="7">
        <v>125.59</v>
      </c>
      <c r="Y86" s="7">
        <v>0</v>
      </c>
      <c r="Z86" s="7">
        <v>53.81</v>
      </c>
    </row>
    <row r="87" spans="1:26" x14ac:dyDescent="0.25">
      <c r="A87" s="7" t="s">
        <v>27</v>
      </c>
      <c r="B87" s="7" t="s">
        <v>28</v>
      </c>
      <c r="C87" s="7" t="s">
        <v>47</v>
      </c>
      <c r="D87" s="7" t="s">
        <v>48</v>
      </c>
      <c r="E87" s="7" t="s">
        <v>38</v>
      </c>
      <c r="F87" s="7" t="s">
        <v>78</v>
      </c>
      <c r="G87" s="7">
        <v>2018</v>
      </c>
      <c r="H87" s="7" t="str">
        <f>CONCATENATE("84780067827")</f>
        <v>84780067827</v>
      </c>
      <c r="I87" s="7" t="s">
        <v>30</v>
      </c>
      <c r="J87" s="7" t="s">
        <v>45</v>
      </c>
      <c r="K87" s="7" t="str">
        <f>CONCATENATE("221")</f>
        <v>221</v>
      </c>
      <c r="L87" s="7" t="str">
        <f>CONCATENATE("8 8.1 5e")</f>
        <v>8 8.1 5e</v>
      </c>
      <c r="M87" s="7" t="str">
        <f>CONCATENATE("FRNSFN79A22E783I")</f>
        <v>FRNSFN79A22E783I</v>
      </c>
      <c r="N87" s="7" t="s">
        <v>173</v>
      </c>
      <c r="O87" s="7" t="s">
        <v>171</v>
      </c>
      <c r="P87" s="8">
        <v>44243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7">
        <v>280.27999999999997</v>
      </c>
      <c r="W87" s="7">
        <v>120.86</v>
      </c>
      <c r="X87" s="7">
        <v>111.61</v>
      </c>
      <c r="Y87" s="7">
        <v>0</v>
      </c>
      <c r="Z87" s="7">
        <v>47.81</v>
      </c>
    </row>
    <row r="88" spans="1:26" ht="24.75" x14ac:dyDescent="0.25">
      <c r="A88" s="7" t="s">
        <v>27</v>
      </c>
      <c r="B88" s="7" t="s">
        <v>28</v>
      </c>
      <c r="C88" s="7" t="s">
        <v>47</v>
      </c>
      <c r="D88" s="7" t="s">
        <v>53</v>
      </c>
      <c r="E88" s="7" t="s">
        <v>29</v>
      </c>
      <c r="F88" s="7" t="s">
        <v>174</v>
      </c>
      <c r="G88" s="7">
        <v>2016</v>
      </c>
      <c r="H88" s="7" t="str">
        <f>CONCATENATE("64780003006")</f>
        <v>64780003006</v>
      </c>
      <c r="I88" s="7" t="s">
        <v>30</v>
      </c>
      <c r="J88" s="7" t="s">
        <v>45</v>
      </c>
      <c r="K88" s="7" t="str">
        <f>CONCATENATE("221")</f>
        <v>221</v>
      </c>
      <c r="L88" s="7" t="str">
        <f>CONCATENATE("8 8.1 5e")</f>
        <v>8 8.1 5e</v>
      </c>
      <c r="M88" s="7" t="str">
        <f>CONCATENATE("CSGRND50D24A366H")</f>
        <v>CSGRND50D24A366H</v>
      </c>
      <c r="N88" s="7" t="s">
        <v>175</v>
      </c>
      <c r="O88" s="7" t="s">
        <v>157</v>
      </c>
      <c r="P88" s="8">
        <v>44243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9">
        <v>2182.36</v>
      </c>
      <c r="W88" s="7">
        <v>941.03</v>
      </c>
      <c r="X88" s="7">
        <v>869.02</v>
      </c>
      <c r="Y88" s="7">
        <v>0</v>
      </c>
      <c r="Z88" s="7">
        <v>372.31</v>
      </c>
    </row>
    <row r="89" spans="1:26" ht="24.75" x14ac:dyDescent="0.25">
      <c r="A89" s="7" t="s">
        <v>27</v>
      </c>
      <c r="B89" s="7" t="s">
        <v>28</v>
      </c>
      <c r="C89" s="7" t="s">
        <v>47</v>
      </c>
      <c r="D89" s="7" t="s">
        <v>53</v>
      </c>
      <c r="E89" s="7" t="s">
        <v>38</v>
      </c>
      <c r="F89" s="7" t="s">
        <v>64</v>
      </c>
      <c r="G89" s="7">
        <v>2016</v>
      </c>
      <c r="H89" s="7" t="str">
        <f>CONCATENATE("64780085862")</f>
        <v>64780085862</v>
      </c>
      <c r="I89" s="7" t="s">
        <v>30</v>
      </c>
      <c r="J89" s="7" t="s">
        <v>45</v>
      </c>
      <c r="K89" s="7" t="str">
        <f>CONCATENATE("221")</f>
        <v>221</v>
      </c>
      <c r="L89" s="7" t="str">
        <f>CONCATENATE("8 8.1 5e")</f>
        <v>8 8.1 5e</v>
      </c>
      <c r="M89" s="7" t="str">
        <f>CONCATENATE("CNTVGL64R26D007O")</f>
        <v>CNTVGL64R26D007O</v>
      </c>
      <c r="N89" s="7" t="s">
        <v>176</v>
      </c>
      <c r="O89" s="7" t="s">
        <v>157</v>
      </c>
      <c r="P89" s="8">
        <v>44243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7">
        <v>633.1</v>
      </c>
      <c r="W89" s="7">
        <v>272.99</v>
      </c>
      <c r="X89" s="7">
        <v>252.1</v>
      </c>
      <c r="Y89" s="7">
        <v>0</v>
      </c>
      <c r="Z89" s="7">
        <v>108.01</v>
      </c>
    </row>
    <row r="90" spans="1:26" ht="24.75" x14ac:dyDescent="0.25">
      <c r="A90" s="7" t="s">
        <v>27</v>
      </c>
      <c r="B90" s="7" t="s">
        <v>28</v>
      </c>
      <c r="C90" s="7" t="s">
        <v>47</v>
      </c>
      <c r="D90" s="7" t="s">
        <v>53</v>
      </c>
      <c r="E90" s="7" t="s">
        <v>37</v>
      </c>
      <c r="F90" s="7" t="s">
        <v>60</v>
      </c>
      <c r="G90" s="7">
        <v>2016</v>
      </c>
      <c r="H90" s="7" t="str">
        <f>CONCATENATE("64780073793")</f>
        <v>64780073793</v>
      </c>
      <c r="I90" s="7" t="s">
        <v>30</v>
      </c>
      <c r="J90" s="7" t="s">
        <v>45</v>
      </c>
      <c r="K90" s="7" t="str">
        <f>CONCATENATE("221")</f>
        <v>221</v>
      </c>
      <c r="L90" s="7" t="str">
        <f>CONCATENATE("8 8.1 5e")</f>
        <v>8 8.1 5e</v>
      </c>
      <c r="M90" s="7" t="str">
        <f>CONCATENATE("PLNCTN59P21E388Y")</f>
        <v>PLNCTN59P21E388Y</v>
      </c>
      <c r="N90" s="7" t="s">
        <v>177</v>
      </c>
      <c r="O90" s="7" t="s">
        <v>157</v>
      </c>
      <c r="P90" s="8">
        <v>44243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7">
        <v>255.56</v>
      </c>
      <c r="W90" s="7">
        <v>110.2</v>
      </c>
      <c r="X90" s="7">
        <v>101.76</v>
      </c>
      <c r="Y90" s="7">
        <v>0</v>
      </c>
      <c r="Z90" s="7">
        <v>43.6</v>
      </c>
    </row>
    <row r="91" spans="1:26" ht="24.75" x14ac:dyDescent="0.25">
      <c r="A91" s="7" t="s">
        <v>27</v>
      </c>
      <c r="B91" s="7" t="s">
        <v>28</v>
      </c>
      <c r="C91" s="7" t="s">
        <v>47</v>
      </c>
      <c r="D91" s="7" t="s">
        <v>161</v>
      </c>
      <c r="E91" s="7" t="s">
        <v>43</v>
      </c>
      <c r="F91" s="7" t="s">
        <v>178</v>
      </c>
      <c r="G91" s="7">
        <v>2020</v>
      </c>
      <c r="H91" s="7" t="str">
        <f>CONCATENATE("04780030807")</f>
        <v>04780030807</v>
      </c>
      <c r="I91" s="7" t="s">
        <v>30</v>
      </c>
      <c r="J91" s="7" t="s">
        <v>45</v>
      </c>
      <c r="K91" s="7" t="str">
        <f>CONCATENATE("221")</f>
        <v>221</v>
      </c>
      <c r="L91" s="7" t="str">
        <f>CONCATENATE("8 8.1 5e")</f>
        <v>8 8.1 5e</v>
      </c>
      <c r="M91" s="7" t="str">
        <f>CONCATENATE("02177760416")</f>
        <v>02177760416</v>
      </c>
      <c r="N91" s="7" t="s">
        <v>179</v>
      </c>
      <c r="O91" s="7" t="s">
        <v>164</v>
      </c>
      <c r="P91" s="8">
        <v>44243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9">
        <v>2700</v>
      </c>
      <c r="W91" s="9">
        <v>1164.24</v>
      </c>
      <c r="X91" s="9">
        <v>1075.1400000000001</v>
      </c>
      <c r="Y91" s="7">
        <v>0</v>
      </c>
      <c r="Z91" s="7">
        <v>460.62</v>
      </c>
    </row>
    <row r="92" spans="1:26" ht="24.75" x14ac:dyDescent="0.25">
      <c r="A92" s="7" t="s">
        <v>27</v>
      </c>
      <c r="B92" s="7" t="s">
        <v>28</v>
      </c>
      <c r="C92" s="7" t="s">
        <v>47</v>
      </c>
      <c r="D92" s="7" t="s">
        <v>161</v>
      </c>
      <c r="E92" s="7" t="s">
        <v>38</v>
      </c>
      <c r="F92" s="7" t="s">
        <v>180</v>
      </c>
      <c r="G92" s="7">
        <v>2020</v>
      </c>
      <c r="H92" s="7" t="str">
        <f>CONCATENATE("04780001048")</f>
        <v>04780001048</v>
      </c>
      <c r="I92" s="7" t="s">
        <v>30</v>
      </c>
      <c r="J92" s="7" t="s">
        <v>45</v>
      </c>
      <c r="K92" s="7" t="str">
        <f>CONCATENATE("221")</f>
        <v>221</v>
      </c>
      <c r="L92" s="7" t="str">
        <f>CONCATENATE("8 8.1 5e")</f>
        <v>8 8.1 5e</v>
      </c>
      <c r="M92" s="7" t="str">
        <f>CONCATENATE("00360710412")</f>
        <v>00360710412</v>
      </c>
      <c r="N92" s="7" t="s">
        <v>181</v>
      </c>
      <c r="O92" s="7" t="s">
        <v>164</v>
      </c>
      <c r="P92" s="8">
        <v>44243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9">
        <v>3560</v>
      </c>
      <c r="W92" s="9">
        <v>1535.07</v>
      </c>
      <c r="X92" s="9">
        <v>1417.59</v>
      </c>
      <c r="Y92" s="7">
        <v>0</v>
      </c>
      <c r="Z92" s="7">
        <v>607.34</v>
      </c>
    </row>
    <row r="93" spans="1:26" ht="24.75" x14ac:dyDescent="0.25">
      <c r="A93" s="7" t="s">
        <v>27</v>
      </c>
      <c r="B93" s="7" t="s">
        <v>28</v>
      </c>
      <c r="C93" s="7" t="s">
        <v>47</v>
      </c>
      <c r="D93" s="7" t="s">
        <v>161</v>
      </c>
      <c r="E93" s="7" t="s">
        <v>29</v>
      </c>
      <c r="F93" s="7" t="s">
        <v>182</v>
      </c>
      <c r="G93" s="7">
        <v>2020</v>
      </c>
      <c r="H93" s="7" t="str">
        <f>CONCATENATE("04780030443")</f>
        <v>04780030443</v>
      </c>
      <c r="I93" s="7" t="s">
        <v>30</v>
      </c>
      <c r="J93" s="7" t="s">
        <v>45</v>
      </c>
      <c r="K93" s="7" t="str">
        <f>CONCATENATE("221")</f>
        <v>221</v>
      </c>
      <c r="L93" s="7" t="str">
        <f>CONCATENATE("8 8.1 5e")</f>
        <v>8 8.1 5e</v>
      </c>
      <c r="M93" s="7" t="str">
        <f>CONCATENATE("VLNGCR52P05F497K")</f>
        <v>VLNGCR52P05F497K</v>
      </c>
      <c r="N93" s="7" t="s">
        <v>183</v>
      </c>
      <c r="O93" s="7" t="s">
        <v>164</v>
      </c>
      <c r="P93" s="8">
        <v>44243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7">
        <v>93</v>
      </c>
      <c r="W93" s="7">
        <v>40.1</v>
      </c>
      <c r="X93" s="7">
        <v>37.03</v>
      </c>
      <c r="Y93" s="7">
        <v>0</v>
      </c>
      <c r="Z93" s="7">
        <v>15.87</v>
      </c>
    </row>
    <row r="94" spans="1:26" x14ac:dyDescent="0.25">
      <c r="A94" s="7" t="s">
        <v>27</v>
      </c>
      <c r="B94" s="7" t="s">
        <v>28</v>
      </c>
      <c r="C94" s="7" t="s">
        <v>47</v>
      </c>
      <c r="D94" s="7" t="s">
        <v>48</v>
      </c>
      <c r="E94" s="7" t="s">
        <v>43</v>
      </c>
      <c r="F94" s="7" t="s">
        <v>184</v>
      </c>
      <c r="G94" s="7">
        <v>2018</v>
      </c>
      <c r="H94" s="7" t="str">
        <f>CONCATENATE("84780028654")</f>
        <v>84780028654</v>
      </c>
      <c r="I94" s="7" t="s">
        <v>30</v>
      </c>
      <c r="J94" s="7" t="s">
        <v>45</v>
      </c>
      <c r="K94" s="7" t="str">
        <f>CONCATENATE("221")</f>
        <v>221</v>
      </c>
      <c r="L94" s="7" t="str">
        <f>CONCATENATE("8 8.1 5e")</f>
        <v>8 8.1 5e</v>
      </c>
      <c r="M94" s="7" t="str">
        <f>CONCATENATE("BRBFBA76E01B474C")</f>
        <v>BRBFBA76E01B474C</v>
      </c>
      <c r="N94" s="7" t="s">
        <v>185</v>
      </c>
      <c r="O94" s="7" t="s">
        <v>171</v>
      </c>
      <c r="P94" s="8">
        <v>44243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7">
        <v>805.5</v>
      </c>
      <c r="W94" s="7">
        <v>347.33</v>
      </c>
      <c r="X94" s="7">
        <v>320.75</v>
      </c>
      <c r="Y94" s="7">
        <v>0</v>
      </c>
      <c r="Z94" s="7">
        <v>137.41999999999999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2021-02-26T14:41:25Z</dcterms:created>
  <dcterms:modified xsi:type="dcterms:W3CDTF">2021-02-26T14:42:07Z</dcterms:modified>
</cp:coreProperties>
</file>