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21\"/>
    </mc:Choice>
  </mc:AlternateContent>
  <xr:revisionPtr revIDLastSave="0" documentId="8_{87FD8133-2A67-4E37-A9F9-8B64BE23C28D}" xr6:coauthVersionLast="45" xr6:coauthVersionMax="45" xr10:uidLastSave="{00000000-0000-0000-0000-000000000000}"/>
  <bookViews>
    <workbookView xWindow="-120" yWindow="-120" windowWidth="20730" windowHeight="11160" xr2:uid="{D13BED91-05CF-4FF8-815F-24D314654274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2" i="1" l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<sst xmlns="http://schemas.openxmlformats.org/spreadsheetml/2006/main" count="1053" uniqueCount="176">
  <si>
    <t>Dettaglio Domande Pagabili Decreto 421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</si>
  <si>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</si>
  <si>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</si>
  <si>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</si>
  <si>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</si>
  <si>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</si>
  <si>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</si>
  <si>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</si>
  <si>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</si>
  <si>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</si>
  <si>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</si>
  <si>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</si>
  <si>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</si>
  <si>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</si>
  <si>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</si>
  <si>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</si>
  <si>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</si>
  <si>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</si>
  <si>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</si>
  <si>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</si>
  <si>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</si>
  <si>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</si>
  <si>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</si>
  <si>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</si>
  <si>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</si>
  <si>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</si>
  <si>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</si>
  <si>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</si>
  <si>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Confagricoltura srl</t>
  </si>
  <si>
    <t>NO</t>
  </si>
  <si>
    <t>Nuova Programmazione</t>
  </si>
  <si>
    <t>In Liquidazione</t>
  </si>
  <si>
    <t>Saldo</t>
  </si>
  <si>
    <t>Co-Finanziato</t>
  </si>
  <si>
    <t>IN PROPRIO</t>
  </si>
  <si>
    <t>SI</t>
  </si>
  <si>
    <t>CAA CIA srl</t>
  </si>
  <si>
    <t>CAA Coldiretti srl</t>
  </si>
  <si>
    <t>CAA LiberiAgricoltori srl già CAA AGCI srl</t>
  </si>
  <si>
    <t>SAL</t>
  </si>
  <si>
    <t>CAA-CAF AGRI S.R.L.</t>
  </si>
  <si>
    <t>CAA C.A.N.A.P.A. srl</t>
  </si>
  <si>
    <t>Anticipo</t>
  </si>
  <si>
    <t>CAA UNICAA srl</t>
  </si>
  <si>
    <t>Misure a Superficie</t>
  </si>
  <si>
    <t>Trascinamenti</t>
  </si>
  <si>
    <t>MARCHE</t>
  </si>
  <si>
    <t>SERV. DEC. AGRICOLTURA E ALIMENTAZIONE - ANCONA</t>
  </si>
  <si>
    <t>SIBILLA - SOCIETA' CONSORTILE A RESPONSABILITA' LIMITATA</t>
  </si>
  <si>
    <t>AGEA.ASR.2020.1742565</t>
  </si>
  <si>
    <t>FERMANO LEADER SOCIETA' CONSORTILE A RESPONSABILITA' LIMITATA</t>
  </si>
  <si>
    <t>AGEA.ASR.2020.1728016</t>
  </si>
  <si>
    <t>SERV. DEC. AGRICOLTURA E ALIM. - MACERATA</t>
  </si>
  <si>
    <t>CAA Coldiretti - MACERATA - 017</t>
  </si>
  <si>
    <t>SEPI EMANUELE</t>
  </si>
  <si>
    <t>AGEA.ASR.2020.1741286</t>
  </si>
  <si>
    <t>SERV. DEC. AGRICOLTURA E ALIMENTAZIONE - PESARO</t>
  </si>
  <si>
    <t>CAA Coldiretti - PESARO E URBINO - 001</t>
  </si>
  <si>
    <t>FULVI FRANCESCO</t>
  </si>
  <si>
    <t>AGEA.ASR.2020.1736551</t>
  </si>
  <si>
    <t>CAA CIA - PESARO E URBINO - 002</t>
  </si>
  <si>
    <t>RAGNUCCI ANTINISCA</t>
  </si>
  <si>
    <t>CAA Coldiretti - AREZZO - 008</t>
  </si>
  <si>
    <t>MONTINI TIZIANA</t>
  </si>
  <si>
    <t>CAA Coldiretti - ANCONA - 004</t>
  </si>
  <si>
    <t>AGRITURISMO PARADISO SOCIETA' AGRICOLA-SOCIETA' A RESPONSABILITA' LIMI</t>
  </si>
  <si>
    <t>CAA Coldiretti - ANCONA - 003</t>
  </si>
  <si>
    <t>LANCIONI PAOLO</t>
  </si>
  <si>
    <t>AGEA.ASR.2020.1735494</t>
  </si>
  <si>
    <t>CAA Coldiretti - PESARO E URBINO - 013</t>
  </si>
  <si>
    <t>ROMITI GIOVANNI</t>
  </si>
  <si>
    <t>CIACCI PAOLO</t>
  </si>
  <si>
    <t>CAA CIA - ANCONA - 002</t>
  </si>
  <si>
    <t>FATTORINI PAOLA</t>
  </si>
  <si>
    <t>CAA Confagricoltura - ANCONA - 001</t>
  </si>
  <si>
    <t>SOCIETA' AGRICOLA FILENI SRL</t>
  </si>
  <si>
    <t>CAA Coldiretti - ANCONA - 008</t>
  </si>
  <si>
    <t>SOCIETA' AGRICOLA IL RITORNO DI CLEMENTI MIRCO E FEDERICO S.S.</t>
  </si>
  <si>
    <t>SOCIETA' AGRICOLA ELISAPETTA</t>
  </si>
  <si>
    <t>CARDELLI FLAUDIA</t>
  </si>
  <si>
    <t>CAA LiberiAgricoltori - MACERATA - 002</t>
  </si>
  <si>
    <t>BASILISSI LUCIA</t>
  </si>
  <si>
    <t>AGEA.ASR.2020.1731318</t>
  </si>
  <si>
    <t>CAA LiberiAgricoltori - MACERATA - 004</t>
  </si>
  <si>
    <t>MIGLIORELLI PIETRO</t>
  </si>
  <si>
    <t>SOCIETA' AGRICOLA MOSCI PAOLO-ROBERTO-LORENZO SOCIETA' SEMPLICE</t>
  </si>
  <si>
    <t>AGEA.ASR.2020.1736545</t>
  </si>
  <si>
    <t>SERRE ALTE S.R.L. SOCIETA' AGRICOLA</t>
  </si>
  <si>
    <t>AGEA.ASR.2020.1732978</t>
  </si>
  <si>
    <t>CAA LiberiAgricoltori - MACERATA - 005</t>
  </si>
  <si>
    <t>BRANDI GIAMMARIO</t>
  </si>
  <si>
    <t>CAA Coldiretti - VITERBO - 007</t>
  </si>
  <si>
    <t>SCOLASTICI MARCO</t>
  </si>
  <si>
    <t>SERV. DEC. AGRICOLTURA E ALIM. -ASCOLI PICENO</t>
  </si>
  <si>
    <t>CAA CIA - ASCOLI PICENO - 001</t>
  </si>
  <si>
    <t>CAUCCI SERAFINO</t>
  </si>
  <si>
    <t>CAA Coldiretti - ANCONA - 006</t>
  </si>
  <si>
    <t>DOTTORI EDOARDO</t>
  </si>
  <si>
    <t>CAA CIA - MACERATA - 001</t>
  </si>
  <si>
    <t>ERCOLI SILVANO</t>
  </si>
  <si>
    <t>DELLE FAVE RAFFAELE</t>
  </si>
  <si>
    <t>CAA CAF AGRI - MACERATA - 224</t>
  </si>
  <si>
    <t>SABBATINI MAURIZIO</t>
  </si>
  <si>
    <t>CAA UNICAA - MACERATA - 002</t>
  </si>
  <si>
    <t>FALSETTI GABRIELE</t>
  </si>
  <si>
    <t>CAA CAF AGRI - MACERATA - 223</t>
  </si>
  <si>
    <t>SOCIETA' AGRICOLA CANTARINI GIOVANNI E C. SOCIETA' SEMPLICE</t>
  </si>
  <si>
    <t>CARDINI VALENTINO</t>
  </si>
  <si>
    <t>PETINI FRANCA</t>
  </si>
  <si>
    <t>PEYRON BERNARDINO ENRICO MARIA</t>
  </si>
  <si>
    <t>SOCIETA' AGRICOLA BISCI SOC. SEMPLICE</t>
  </si>
  <si>
    <t>CAA Coldiretti - ASCOLI PICENO - 010</t>
  </si>
  <si>
    <t>PALAFERRI GIOVANNI</t>
  </si>
  <si>
    <t>BRANDI PIERDOMENICO</t>
  </si>
  <si>
    <t>CAA Confagricoltura - MACERATA - 001</t>
  </si>
  <si>
    <t>BIO DEGLI AZZONI SOCIETA' SEMPLICE SOCIETA' AGRICOLA</t>
  </si>
  <si>
    <t>CAA LiberiAgricoltori - MACERATA - 001</t>
  </si>
  <si>
    <t>SALVATORI ANNA</t>
  </si>
  <si>
    <t>SALVATORI MANUEL</t>
  </si>
  <si>
    <t>ROMALDINI MAURO</t>
  </si>
  <si>
    <t>TAGNANI DANIELE</t>
  </si>
  <si>
    <t>AGEA.ASR.2020.1728328</t>
  </si>
  <si>
    <t>CAA CIA - ASCOLI PICENO - 006</t>
  </si>
  <si>
    <t>CURI MAURIZIO</t>
  </si>
  <si>
    <t>AGEA.ASR.2020.1732973</t>
  </si>
  <si>
    <t>LAURENZI MAURIZIO</t>
  </si>
  <si>
    <t>AGEA.ASR.2020.1728269</t>
  </si>
  <si>
    <t>GALANTI ALESSANDRO</t>
  </si>
  <si>
    <t>AGEA.ASR.2020.1728339</t>
  </si>
  <si>
    <t>CAA Coldiretti - MACERATA - 007</t>
  </si>
  <si>
    <t>LINFOZZI LOREDANA</t>
  </si>
  <si>
    <t>AGEA.ASR.2020.1728347</t>
  </si>
  <si>
    <t>STANGONI ROMANO</t>
  </si>
  <si>
    <t>STRACCIO ALESSANDRA</t>
  </si>
  <si>
    <t>CAA CIA - PESARO E URBINO - 003</t>
  </si>
  <si>
    <t>BRANCHINI ORIANA</t>
  </si>
  <si>
    <t>AGEA.ASR.2020.1706720</t>
  </si>
  <si>
    <t>CICCONI ILARIA</t>
  </si>
  <si>
    <t>CAA C.A.N.A.P.A. - CATANZARO - 014</t>
  </si>
  <si>
    <t>COLISTRA FABIO</t>
  </si>
  <si>
    <t>CAA Confagricoltura - FORLI' - CESENA - 001</t>
  </si>
  <si>
    <t>BALACCHI FABRIZIO</t>
  </si>
  <si>
    <t>BERLONI ROBERTO</t>
  </si>
  <si>
    <t>CAA LiberiAgricoltori - PESARO E URBINO - 002</t>
  </si>
  <si>
    <t>FOGLIETTA FAUSTO</t>
  </si>
  <si>
    <t>FERRI MARINI GINO</t>
  </si>
  <si>
    <t>LA FONTE SOCIETA' AGRICOLA S.S.</t>
  </si>
  <si>
    <t>CAA Confagricoltura - PERUGIA - 005</t>
  </si>
  <si>
    <t>SERAFINI DOMENICO</t>
  </si>
  <si>
    <t>CAA CAF AGRI - PESARO E URBINO - 221</t>
  </si>
  <si>
    <t>CANCELLIERI FILIPPO</t>
  </si>
  <si>
    <t>CAA Coldiretti - ANCONA - 002</t>
  </si>
  <si>
    <t>BETTI DAVID</t>
  </si>
  <si>
    <t>CAA Coldiretti - PESARO E URBINO - 006</t>
  </si>
  <si>
    <t>PEDALETTI LUCIANO</t>
  </si>
  <si>
    <t>METALLARI LORODANA</t>
  </si>
  <si>
    <t>AGEA.ASR.2020.1728387</t>
  </si>
  <si>
    <t>SOCIETA' AGRICOLA CRUCIANI RUGGERO &amp; C. SOCIETA' SEMPLICE</t>
  </si>
  <si>
    <t>AGEA.ASR.2020.1749068</t>
  </si>
  <si>
    <t>CAA Coldiretti - PESARO E URBINO - 010</t>
  </si>
  <si>
    <t>FALLERI MARIA ANGELA</t>
  </si>
  <si>
    <t>AGEA.ASR.2020.1740080</t>
  </si>
  <si>
    <t>CAA CIA - ANCONA - 006</t>
  </si>
  <si>
    <t>CONSORZIO MARCHE VERDI SOC.COOP.AGRICOLA E FORESTALE</t>
  </si>
  <si>
    <t>AGEA.ASR.2020.1728125</t>
  </si>
  <si>
    <t>DI CINTIO CARLA</t>
  </si>
  <si>
    <t>AGEA.ASR.2020.1727967</t>
  </si>
  <si>
    <t>CAA Coldiretti - PESARO E URBINO - 007</t>
  </si>
  <si>
    <t>DEL BALDO ROBERTO</t>
  </si>
  <si>
    <t>AGEA.ASR.2020.1743233</t>
  </si>
  <si>
    <t>PIEROTTI SERAFINO</t>
  </si>
  <si>
    <t>DELLA MORA DAVID</t>
  </si>
  <si>
    <t>AGEA.ASR.2020.1728358</t>
  </si>
  <si>
    <t>ALBERTI MATTEO</t>
  </si>
  <si>
    <t>AGEA.ASR.2020.1745369</t>
  </si>
  <si>
    <t>AGEA.ASR.2020.1745457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</si>
</sst>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F8CB-81A6-4412-B202-8442F208DE9E}">
  <dimension ref="A1:Y82"/>
  <sheetViews>
    <sheetView showGridLines="0" tabSelected="1" workbookViewId="0">
      <selection activeCell="E84" sqref="E84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46</v>
      </c>
      <c r="D4" s="5" t="s">
        <v>47</v>
      </c>
      <c r="E4" s="5" t="s">
        <v>34</v>
      </c>
      <c r="F4" s="5" t="s">
        <v>34</v>
      </c>
      <c r="G4" s="5">
        <v>2017</v>
      </c>
      <c r="H4" s="5" t="str">
        <f>_xlfn.CONCAT("04270189394")</f>
        <v>04270189394</v>
      </c>
      <c r="I4" s="5" t="s">
        <v>29</v>
      </c>
      <c r="J4" s="5" t="s">
        <v>30</v>
      </c>
      <c r="K4" s="5" t="str">
        <f>_xlfn.CONCAT("")</f>
        <v/>
      </c>
      <c r="L4" s="5" t="str">
        <f>_xlfn.CONCAT("19 19.4 6b")</f>
        <v>19 19.4 6b</v>
      </c>
      <c r="M4" s="5" t="str">
        <f>_xlfn.CONCAT("01451540437")</f>
        <v>01451540437</v>
      </c>
      <c r="N4" s="5" t="s">
        <v>48</v>
      </c>
      <c r="O4" s="5" t="s">
        <v>49</v>
      </c>
      <c r="P4" s="6">
        <v>44176</v>
      </c>
      <c r="Q4" s="5" t="s">
        <v>31</v>
      </c>
      <c r="R4" s="5" t="s">
        <v>39</v>
      </c>
      <c r="S4" s="5" t="s">
        <v>33</v>
      </c>
      <c r="T4" s="5"/>
      <c r="U4" s="7">
        <v>218295.92</v>
      </c>
      <c r="V4" s="7">
        <v>94129.2</v>
      </c>
      <c r="W4" s="7">
        <v>86925.440000000002</v>
      </c>
      <c r="X4" s="5">
        <v>0</v>
      </c>
      <c r="Y4" s="7">
        <v>37241.279999999999</v>
      </c>
    </row>
    <row r="5" spans="1:25" ht="24.75" x14ac:dyDescent="0.25">
      <c r="A5" s="5" t="s">
        <v>26</v>
      </c>
      <c r="B5" s="5" t="s">
        <v>27</v>
      </c>
      <c r="C5" s="5" t="s">
        <v>46</v>
      </c>
      <c r="D5" s="5" t="s">
        <v>47</v>
      </c>
      <c r="E5" s="5" t="s">
        <v>34</v>
      </c>
      <c r="F5" s="5" t="s">
        <v>34</v>
      </c>
      <c r="G5" s="5">
        <v>2017</v>
      </c>
      <c r="H5" s="5" t="str">
        <f>_xlfn.CONCAT("04270185160")</f>
        <v>04270185160</v>
      </c>
      <c r="I5" s="5" t="s">
        <v>29</v>
      </c>
      <c r="J5" s="5" t="s">
        <v>30</v>
      </c>
      <c r="K5" s="5" t="str">
        <f>_xlfn.CONCAT("")</f>
        <v/>
      </c>
      <c r="L5" s="5" t="str">
        <f>_xlfn.CONCAT("19 19.4 6b")</f>
        <v>19 19.4 6b</v>
      </c>
      <c r="M5" s="5" t="str">
        <f>_xlfn.CONCAT("01944950441")</f>
        <v>01944950441</v>
      </c>
      <c r="N5" s="5" t="s">
        <v>50</v>
      </c>
      <c r="O5" s="5" t="s">
        <v>51</v>
      </c>
      <c r="P5" s="6">
        <v>44176</v>
      </c>
      <c r="Q5" s="5" t="s">
        <v>31</v>
      </c>
      <c r="R5" s="5" t="s">
        <v>39</v>
      </c>
      <c r="S5" s="5" t="s">
        <v>33</v>
      </c>
      <c r="T5" s="5"/>
      <c r="U5" s="7">
        <v>212869.26</v>
      </c>
      <c r="V5" s="7">
        <v>91789.22</v>
      </c>
      <c r="W5" s="7">
        <v>84764.54</v>
      </c>
      <c r="X5" s="5">
        <v>0</v>
      </c>
      <c r="Y5" s="7">
        <v>36315.5</v>
      </c>
    </row>
    <row r="6" spans="1:25" x14ac:dyDescent="0.25">
      <c r="A6" s="5" t="s">
        <v>26</v>
      </c>
      <c r="B6" s="5" t="s">
        <v>44</v>
      </c>
      <c r="C6" s="5" t="s">
        <v>46</v>
      </c>
      <c r="D6" s="5" t="s">
        <v>52</v>
      </c>
      <c r="E6" s="5" t="s">
        <v>37</v>
      </c>
      <c r="F6" s="5" t="s">
        <v>53</v>
      </c>
      <c r="G6" s="5">
        <v>2019</v>
      </c>
      <c r="H6" s="5" t="str">
        <f>_xlfn.CONCAT("94240181266")</f>
        <v>94240181266</v>
      </c>
      <c r="I6" s="5" t="s">
        <v>29</v>
      </c>
      <c r="J6" s="5" t="s">
        <v>30</v>
      </c>
      <c r="K6" s="5" t="str">
        <f>_xlfn.CONCAT("")</f>
        <v/>
      </c>
      <c r="L6" s="5" t="str">
        <f>_xlfn.CONCAT("10 10.1 4a")</f>
        <v>10 10.1 4a</v>
      </c>
      <c r="M6" s="5" t="str">
        <f>_xlfn.CONCAT("SPEMNL95C17B474Y")</f>
        <v>SPEMNL95C17B474Y</v>
      </c>
      <c r="N6" s="5" t="s">
        <v>54</v>
      </c>
      <c r="O6" s="5" t="s">
        <v>55</v>
      </c>
      <c r="P6" s="6">
        <v>44176</v>
      </c>
      <c r="Q6" s="5" t="s">
        <v>31</v>
      </c>
      <c r="R6" s="5" t="s">
        <v>32</v>
      </c>
      <c r="S6" s="5" t="s">
        <v>33</v>
      </c>
      <c r="T6" s="5"/>
      <c r="U6" s="7">
        <v>2066.0500000000002</v>
      </c>
      <c r="V6" s="5">
        <v>890.88</v>
      </c>
      <c r="W6" s="5">
        <v>822.7</v>
      </c>
      <c r="X6" s="5">
        <v>0</v>
      </c>
      <c r="Y6" s="5">
        <v>352.47</v>
      </c>
    </row>
    <row r="7" spans="1:25" ht="24.75" x14ac:dyDescent="0.25">
      <c r="A7" s="5" t="s">
        <v>26</v>
      </c>
      <c r="B7" s="5" t="s">
        <v>44</v>
      </c>
      <c r="C7" s="5" t="s">
        <v>46</v>
      </c>
      <c r="D7" s="5" t="s">
        <v>56</v>
      </c>
      <c r="E7" s="5" t="s">
        <v>37</v>
      </c>
      <c r="F7" s="5" t="s">
        <v>57</v>
      </c>
      <c r="G7" s="5">
        <v>2018</v>
      </c>
      <c r="H7" s="5" t="str">
        <f>_xlfn.CONCAT("84240877872")</f>
        <v>84240877872</v>
      </c>
      <c r="I7" s="5" t="s">
        <v>29</v>
      </c>
      <c r="J7" s="5" t="s">
        <v>30</v>
      </c>
      <c r="K7" s="5" t="str">
        <f>_xlfn.CONCAT("")</f>
        <v/>
      </c>
      <c r="L7" s="5" t="str">
        <f>_xlfn.CONCAT("11 11.1 4b")</f>
        <v>11 11.1 4b</v>
      </c>
      <c r="M7" s="5" t="str">
        <f>_xlfn.CONCAT("FLVFNC72S09B352B")</f>
        <v>FLVFNC72S09B352B</v>
      </c>
      <c r="N7" s="5" t="s">
        <v>58</v>
      </c>
      <c r="O7" s="5" t="s">
        <v>59</v>
      </c>
      <c r="P7" s="6">
        <v>44176</v>
      </c>
      <c r="Q7" s="5" t="s">
        <v>31</v>
      </c>
      <c r="R7" s="5" t="s">
        <v>32</v>
      </c>
      <c r="S7" s="5" t="s">
        <v>33</v>
      </c>
      <c r="T7" s="5"/>
      <c r="U7" s="5">
        <v>12.82</v>
      </c>
      <c r="V7" s="5">
        <v>5.53</v>
      </c>
      <c r="W7" s="5">
        <v>5.0999999999999996</v>
      </c>
      <c r="X7" s="5">
        <v>0</v>
      </c>
      <c r="Y7" s="5">
        <v>2.19</v>
      </c>
    </row>
    <row r="8" spans="1:25" ht="24.75" x14ac:dyDescent="0.25">
      <c r="A8" s="5" t="s">
        <v>26</v>
      </c>
      <c r="B8" s="5" t="s">
        <v>44</v>
      </c>
      <c r="C8" s="5" t="s">
        <v>46</v>
      </c>
      <c r="D8" s="5" t="s">
        <v>56</v>
      </c>
      <c r="E8" s="5" t="s">
        <v>36</v>
      </c>
      <c r="F8" s="5" t="s">
        <v>60</v>
      </c>
      <c r="G8" s="5">
        <v>2018</v>
      </c>
      <c r="H8" s="5" t="str">
        <f>_xlfn.CONCAT("84240592778")</f>
        <v>84240592778</v>
      </c>
      <c r="I8" s="5" t="s">
        <v>29</v>
      </c>
      <c r="J8" s="5" t="s">
        <v>30</v>
      </c>
      <c r="K8" s="5" t="str">
        <f>_xlfn.CONCAT("")</f>
        <v/>
      </c>
      <c r="L8" s="5" t="str">
        <f>_xlfn.CONCAT("11 11.1 4b")</f>
        <v>11 11.1 4b</v>
      </c>
      <c r="M8" s="5" t="str">
        <f>_xlfn.CONCAT("RGNNNS78B48L500C")</f>
        <v>RGNNNS78B48L500C</v>
      </c>
      <c r="N8" s="5" t="s">
        <v>61</v>
      </c>
      <c r="O8" s="5" t="s">
        <v>59</v>
      </c>
      <c r="P8" s="6">
        <v>44176</v>
      </c>
      <c r="Q8" s="5" t="s">
        <v>31</v>
      </c>
      <c r="R8" s="5" t="s">
        <v>32</v>
      </c>
      <c r="S8" s="5" t="s">
        <v>33</v>
      </c>
      <c r="T8" s="5"/>
      <c r="U8" s="5">
        <v>624.16</v>
      </c>
      <c r="V8" s="5">
        <v>269.14</v>
      </c>
      <c r="W8" s="5">
        <v>248.54</v>
      </c>
      <c r="X8" s="5">
        <v>0</v>
      </c>
      <c r="Y8" s="5">
        <v>106.48</v>
      </c>
    </row>
    <row r="9" spans="1:25" ht="24.75" x14ac:dyDescent="0.25">
      <c r="A9" s="5" t="s">
        <v>26</v>
      </c>
      <c r="B9" s="5" t="s">
        <v>44</v>
      </c>
      <c r="C9" s="5" t="s">
        <v>46</v>
      </c>
      <c r="D9" s="5" t="s">
        <v>56</v>
      </c>
      <c r="E9" s="5" t="s">
        <v>37</v>
      </c>
      <c r="F9" s="5" t="s">
        <v>62</v>
      </c>
      <c r="G9" s="5">
        <v>2019</v>
      </c>
      <c r="H9" s="5" t="str">
        <f>_xlfn.CONCAT("94240116510")</f>
        <v>94240116510</v>
      </c>
      <c r="I9" s="5" t="s">
        <v>29</v>
      </c>
      <c r="J9" s="5" t="s">
        <v>30</v>
      </c>
      <c r="K9" s="5" t="str">
        <f>_xlfn.CONCAT("")</f>
        <v/>
      </c>
      <c r="L9" s="5" t="str">
        <f>_xlfn.CONCAT("11 11.2 4b")</f>
        <v>11 11.2 4b</v>
      </c>
      <c r="M9" s="5" t="str">
        <f>_xlfn.CONCAT("MNTTZN57E66I681Z")</f>
        <v>MNTTZN57E66I681Z</v>
      </c>
      <c r="N9" s="5" t="s">
        <v>63</v>
      </c>
      <c r="O9" s="5" t="s">
        <v>59</v>
      </c>
      <c r="P9" s="6">
        <v>44176</v>
      </c>
      <c r="Q9" s="5" t="s">
        <v>31</v>
      </c>
      <c r="R9" s="5" t="s">
        <v>32</v>
      </c>
      <c r="S9" s="5" t="s">
        <v>33</v>
      </c>
      <c r="T9" s="5"/>
      <c r="U9" s="7">
        <v>1978.27</v>
      </c>
      <c r="V9" s="5">
        <v>853.03</v>
      </c>
      <c r="W9" s="5">
        <v>787.75</v>
      </c>
      <c r="X9" s="5">
        <v>0</v>
      </c>
      <c r="Y9" s="5">
        <v>337.49</v>
      </c>
    </row>
    <row r="10" spans="1:25" ht="24.75" x14ac:dyDescent="0.25">
      <c r="A10" s="5" t="s">
        <v>26</v>
      </c>
      <c r="B10" s="5" t="s">
        <v>44</v>
      </c>
      <c r="C10" s="5" t="s">
        <v>46</v>
      </c>
      <c r="D10" s="5" t="s">
        <v>47</v>
      </c>
      <c r="E10" s="5" t="s">
        <v>37</v>
      </c>
      <c r="F10" s="5" t="s">
        <v>64</v>
      </c>
      <c r="G10" s="5">
        <v>2017</v>
      </c>
      <c r="H10" s="5" t="str">
        <f>_xlfn.CONCAT("74240114335")</f>
        <v>74240114335</v>
      </c>
      <c r="I10" s="5" t="s">
        <v>35</v>
      </c>
      <c r="J10" s="5" t="s">
        <v>30</v>
      </c>
      <c r="K10" s="5" t="str">
        <f>_xlfn.CONCAT("")</f>
        <v/>
      </c>
      <c r="L10" s="5" t="str">
        <f>_xlfn.CONCAT("11 11.2 4b")</f>
        <v>11 11.2 4b</v>
      </c>
      <c r="M10" s="5" t="str">
        <f>_xlfn.CONCAT("02715590424")</f>
        <v>02715590424</v>
      </c>
      <c r="N10" s="5" t="s">
        <v>65</v>
      </c>
      <c r="O10" s="5" t="s">
        <v>59</v>
      </c>
      <c r="P10" s="6">
        <v>44176</v>
      </c>
      <c r="Q10" s="5" t="s">
        <v>31</v>
      </c>
      <c r="R10" s="5" t="s">
        <v>32</v>
      </c>
      <c r="S10" s="5" t="s">
        <v>33</v>
      </c>
      <c r="T10" s="5"/>
      <c r="U10" s="7">
        <v>1996.26</v>
      </c>
      <c r="V10" s="5">
        <v>860.79</v>
      </c>
      <c r="W10" s="5">
        <v>794.91</v>
      </c>
      <c r="X10" s="5">
        <v>0</v>
      </c>
      <c r="Y10" s="5">
        <v>340.56</v>
      </c>
    </row>
    <row r="11" spans="1:25" ht="24.75" x14ac:dyDescent="0.25">
      <c r="A11" s="5" t="s">
        <v>26</v>
      </c>
      <c r="B11" s="5" t="s">
        <v>44</v>
      </c>
      <c r="C11" s="5" t="s">
        <v>46</v>
      </c>
      <c r="D11" s="5" t="s">
        <v>47</v>
      </c>
      <c r="E11" s="5" t="s">
        <v>37</v>
      </c>
      <c r="F11" s="5" t="s">
        <v>64</v>
      </c>
      <c r="G11" s="5">
        <v>2018</v>
      </c>
      <c r="H11" s="5" t="str">
        <f>_xlfn.CONCAT("84240713291")</f>
        <v>84240713291</v>
      </c>
      <c r="I11" s="5" t="s">
        <v>29</v>
      </c>
      <c r="J11" s="5" t="s">
        <v>30</v>
      </c>
      <c r="K11" s="5" t="str">
        <f>_xlfn.CONCAT("")</f>
        <v/>
      </c>
      <c r="L11" s="5" t="str">
        <f>_xlfn.CONCAT("11 11.2 4b")</f>
        <v>11 11.2 4b</v>
      </c>
      <c r="M11" s="5" t="str">
        <f>_xlfn.CONCAT("02715590424")</f>
        <v>02715590424</v>
      </c>
      <c r="N11" s="5" t="s">
        <v>65</v>
      </c>
      <c r="O11" s="5" t="s">
        <v>59</v>
      </c>
      <c r="P11" s="6">
        <v>44176</v>
      </c>
      <c r="Q11" s="5" t="s">
        <v>31</v>
      </c>
      <c r="R11" s="5" t="s">
        <v>32</v>
      </c>
      <c r="S11" s="5" t="s">
        <v>33</v>
      </c>
      <c r="T11" s="5"/>
      <c r="U11" s="7">
        <v>1996.62</v>
      </c>
      <c r="V11" s="5">
        <v>860.94</v>
      </c>
      <c r="W11" s="5">
        <v>795.05</v>
      </c>
      <c r="X11" s="5">
        <v>0</v>
      </c>
      <c r="Y11" s="5">
        <v>340.63</v>
      </c>
    </row>
    <row r="12" spans="1:25" ht="24.75" x14ac:dyDescent="0.25">
      <c r="A12" s="5" t="s">
        <v>26</v>
      </c>
      <c r="B12" s="5" t="s">
        <v>44</v>
      </c>
      <c r="C12" s="5" t="s">
        <v>46</v>
      </c>
      <c r="D12" s="5" t="s">
        <v>47</v>
      </c>
      <c r="E12" s="5" t="s">
        <v>37</v>
      </c>
      <c r="F12" s="5" t="s">
        <v>64</v>
      </c>
      <c r="G12" s="5">
        <v>2019</v>
      </c>
      <c r="H12" s="5" t="str">
        <f>_xlfn.CONCAT("94240406564")</f>
        <v>94240406564</v>
      </c>
      <c r="I12" s="5" t="s">
        <v>29</v>
      </c>
      <c r="J12" s="5" t="s">
        <v>30</v>
      </c>
      <c r="K12" s="5" t="str">
        <f>_xlfn.CONCAT("")</f>
        <v/>
      </c>
      <c r="L12" s="5" t="str">
        <f>_xlfn.CONCAT("11 11.2 4b")</f>
        <v>11 11.2 4b</v>
      </c>
      <c r="M12" s="5" t="str">
        <f>_xlfn.CONCAT("02715590424")</f>
        <v>02715590424</v>
      </c>
      <c r="N12" s="5" t="s">
        <v>65</v>
      </c>
      <c r="O12" s="5" t="s">
        <v>59</v>
      </c>
      <c r="P12" s="6">
        <v>44176</v>
      </c>
      <c r="Q12" s="5" t="s">
        <v>31</v>
      </c>
      <c r="R12" s="5" t="s">
        <v>32</v>
      </c>
      <c r="S12" s="5" t="s">
        <v>33</v>
      </c>
      <c r="T12" s="5"/>
      <c r="U12" s="7">
        <v>1996.62</v>
      </c>
      <c r="V12" s="5">
        <v>860.94</v>
      </c>
      <c r="W12" s="5">
        <v>795.05</v>
      </c>
      <c r="X12" s="5">
        <v>0</v>
      </c>
      <c r="Y12" s="5">
        <v>340.63</v>
      </c>
    </row>
    <row r="13" spans="1:25" ht="24.75" x14ac:dyDescent="0.25">
      <c r="A13" s="5" t="s">
        <v>26</v>
      </c>
      <c r="B13" s="5" t="s">
        <v>44</v>
      </c>
      <c r="C13" s="5" t="s">
        <v>46</v>
      </c>
      <c r="D13" s="5" t="s">
        <v>47</v>
      </c>
      <c r="E13" s="5" t="s">
        <v>37</v>
      </c>
      <c r="F13" s="5" t="s">
        <v>66</v>
      </c>
      <c r="G13" s="5">
        <v>2020</v>
      </c>
      <c r="H13" s="5" t="str">
        <f>_xlfn.CONCAT("04210837888")</f>
        <v>04210837888</v>
      </c>
      <c r="I13" s="5" t="s">
        <v>29</v>
      </c>
      <c r="J13" s="5" t="s">
        <v>30</v>
      </c>
      <c r="K13" s="5" t="str">
        <f>_xlfn.CONCAT("")</f>
        <v/>
      </c>
      <c r="L13" s="5" t="str">
        <f>_xlfn.CONCAT("12 12.1 4a")</f>
        <v>12 12.1 4a</v>
      </c>
      <c r="M13" s="5" t="str">
        <f>_xlfn.CONCAT("LNCPLA66H27E388G")</f>
        <v>LNCPLA66H27E388G</v>
      </c>
      <c r="N13" s="5" t="s">
        <v>67</v>
      </c>
      <c r="O13" s="5" t="s">
        <v>68</v>
      </c>
      <c r="P13" s="6">
        <v>44176</v>
      </c>
      <c r="Q13" s="5" t="s">
        <v>31</v>
      </c>
      <c r="R13" s="5" t="s">
        <v>32</v>
      </c>
      <c r="S13" s="5" t="s">
        <v>33</v>
      </c>
      <c r="T13" s="5"/>
      <c r="U13" s="7">
        <v>2438.54</v>
      </c>
      <c r="V13" s="7">
        <v>1051.5</v>
      </c>
      <c r="W13" s="5">
        <v>971.03</v>
      </c>
      <c r="X13" s="5">
        <v>0</v>
      </c>
      <c r="Y13" s="5">
        <v>416.01</v>
      </c>
    </row>
    <row r="14" spans="1:25" ht="24.75" x14ac:dyDescent="0.25">
      <c r="A14" s="5" t="s">
        <v>26</v>
      </c>
      <c r="B14" s="5" t="s">
        <v>44</v>
      </c>
      <c r="C14" s="5" t="s">
        <v>46</v>
      </c>
      <c r="D14" s="5" t="s">
        <v>56</v>
      </c>
      <c r="E14" s="5" t="s">
        <v>37</v>
      </c>
      <c r="F14" s="5" t="s">
        <v>69</v>
      </c>
      <c r="G14" s="5">
        <v>2018</v>
      </c>
      <c r="H14" s="5" t="str">
        <f>_xlfn.CONCAT("84240605943")</f>
        <v>84240605943</v>
      </c>
      <c r="I14" s="5" t="s">
        <v>29</v>
      </c>
      <c r="J14" s="5" t="s">
        <v>30</v>
      </c>
      <c r="K14" s="5" t="str">
        <f>_xlfn.CONCAT("")</f>
        <v/>
      </c>
      <c r="L14" s="5" t="str">
        <f>_xlfn.CONCAT("11 11.2 4b")</f>
        <v>11 11.2 4b</v>
      </c>
      <c r="M14" s="5" t="str">
        <f>_xlfn.CONCAT("RMTGNN74D27D749J")</f>
        <v>RMTGNN74D27D749J</v>
      </c>
      <c r="N14" s="5" t="s">
        <v>70</v>
      </c>
      <c r="O14" s="5" t="s">
        <v>59</v>
      </c>
      <c r="P14" s="6">
        <v>44176</v>
      </c>
      <c r="Q14" s="5" t="s">
        <v>31</v>
      </c>
      <c r="R14" s="5" t="s">
        <v>32</v>
      </c>
      <c r="S14" s="5" t="s">
        <v>33</v>
      </c>
      <c r="T14" s="5"/>
      <c r="U14" s="7">
        <v>1834.4</v>
      </c>
      <c r="V14" s="5">
        <v>790.99</v>
      </c>
      <c r="W14" s="5">
        <v>730.46</v>
      </c>
      <c r="X14" s="5">
        <v>0</v>
      </c>
      <c r="Y14" s="5">
        <v>312.95</v>
      </c>
    </row>
    <row r="15" spans="1:25" ht="24.75" x14ac:dyDescent="0.25">
      <c r="A15" s="5" t="s">
        <v>26</v>
      </c>
      <c r="B15" s="5" t="s">
        <v>44</v>
      </c>
      <c r="C15" s="5" t="s">
        <v>46</v>
      </c>
      <c r="D15" s="5" t="s">
        <v>56</v>
      </c>
      <c r="E15" s="5" t="s">
        <v>37</v>
      </c>
      <c r="F15" s="5" t="s">
        <v>69</v>
      </c>
      <c r="G15" s="5">
        <v>2018</v>
      </c>
      <c r="H15" s="5" t="str">
        <f>_xlfn.CONCAT("84240475370")</f>
        <v>84240475370</v>
      </c>
      <c r="I15" s="5" t="s">
        <v>29</v>
      </c>
      <c r="J15" s="5" t="s">
        <v>30</v>
      </c>
      <c r="K15" s="5" t="str">
        <f>_xlfn.CONCAT("")</f>
        <v/>
      </c>
      <c r="L15" s="5" t="str">
        <f>_xlfn.CONCAT("11 11.2 4b")</f>
        <v>11 11.2 4b</v>
      </c>
      <c r="M15" s="5" t="str">
        <f>_xlfn.CONCAT("CCCPLA67R27D488P")</f>
        <v>CCCPLA67R27D488P</v>
      </c>
      <c r="N15" s="5" t="s">
        <v>71</v>
      </c>
      <c r="O15" s="5" t="s">
        <v>59</v>
      </c>
      <c r="P15" s="6">
        <v>44176</v>
      </c>
      <c r="Q15" s="5" t="s">
        <v>31</v>
      </c>
      <c r="R15" s="5" t="s">
        <v>32</v>
      </c>
      <c r="S15" s="5" t="s">
        <v>33</v>
      </c>
      <c r="T15" s="5"/>
      <c r="U15" s="5">
        <v>402.5</v>
      </c>
      <c r="V15" s="5">
        <v>173.56</v>
      </c>
      <c r="W15" s="5">
        <v>160.28</v>
      </c>
      <c r="X15" s="5">
        <v>0</v>
      </c>
      <c r="Y15" s="5">
        <v>68.66</v>
      </c>
    </row>
    <row r="16" spans="1:25" ht="24.75" x14ac:dyDescent="0.25">
      <c r="A16" s="5" t="s">
        <v>26</v>
      </c>
      <c r="B16" s="5" t="s">
        <v>44</v>
      </c>
      <c r="C16" s="5" t="s">
        <v>46</v>
      </c>
      <c r="D16" s="5" t="s">
        <v>56</v>
      </c>
      <c r="E16" s="5" t="s">
        <v>37</v>
      </c>
      <c r="F16" s="5" t="s">
        <v>69</v>
      </c>
      <c r="G16" s="5">
        <v>2019</v>
      </c>
      <c r="H16" s="5" t="str">
        <f>_xlfn.CONCAT("94240518848")</f>
        <v>94240518848</v>
      </c>
      <c r="I16" s="5" t="s">
        <v>29</v>
      </c>
      <c r="J16" s="5" t="s">
        <v>30</v>
      </c>
      <c r="K16" s="5" t="str">
        <f>_xlfn.CONCAT("")</f>
        <v/>
      </c>
      <c r="L16" s="5" t="str">
        <f>_xlfn.CONCAT("11 11.2 4b")</f>
        <v>11 11.2 4b</v>
      </c>
      <c r="M16" s="5" t="str">
        <f>_xlfn.CONCAT("CCCPLA67R27D488P")</f>
        <v>CCCPLA67R27D488P</v>
      </c>
      <c r="N16" s="5" t="s">
        <v>71</v>
      </c>
      <c r="O16" s="5" t="s">
        <v>59</v>
      </c>
      <c r="P16" s="6">
        <v>44176</v>
      </c>
      <c r="Q16" s="5" t="s">
        <v>31</v>
      </c>
      <c r="R16" s="5" t="s">
        <v>32</v>
      </c>
      <c r="S16" s="5" t="s">
        <v>33</v>
      </c>
      <c r="T16" s="5"/>
      <c r="U16" s="7">
        <v>1160.9000000000001</v>
      </c>
      <c r="V16" s="5">
        <v>500.58</v>
      </c>
      <c r="W16" s="5">
        <v>462.27</v>
      </c>
      <c r="X16" s="5">
        <v>0</v>
      </c>
      <c r="Y16" s="5">
        <v>198.05</v>
      </c>
    </row>
    <row r="17" spans="1:25" ht="24.75" x14ac:dyDescent="0.25">
      <c r="A17" s="5" t="s">
        <v>26</v>
      </c>
      <c r="B17" s="5" t="s">
        <v>44</v>
      </c>
      <c r="C17" s="5" t="s">
        <v>46</v>
      </c>
      <c r="D17" s="5" t="s">
        <v>56</v>
      </c>
      <c r="E17" s="5" t="s">
        <v>37</v>
      </c>
      <c r="F17" s="5" t="s">
        <v>69</v>
      </c>
      <c r="G17" s="5">
        <v>2020</v>
      </c>
      <c r="H17" s="5" t="str">
        <f>_xlfn.CONCAT("04240215360")</f>
        <v>04240215360</v>
      </c>
      <c r="I17" s="5" t="s">
        <v>29</v>
      </c>
      <c r="J17" s="5" t="s">
        <v>30</v>
      </c>
      <c r="K17" s="5" t="str">
        <f>_xlfn.CONCAT("")</f>
        <v/>
      </c>
      <c r="L17" s="5" t="str">
        <f>_xlfn.CONCAT("11 11.2 4b")</f>
        <v>11 11.2 4b</v>
      </c>
      <c r="M17" s="5" t="str">
        <f>_xlfn.CONCAT("CCCPLA67R27D488P")</f>
        <v>CCCPLA67R27D488P</v>
      </c>
      <c r="N17" s="5" t="s">
        <v>71</v>
      </c>
      <c r="O17" s="5" t="s">
        <v>59</v>
      </c>
      <c r="P17" s="6">
        <v>44176</v>
      </c>
      <c r="Q17" s="5" t="s">
        <v>31</v>
      </c>
      <c r="R17" s="5" t="s">
        <v>32</v>
      </c>
      <c r="S17" s="5" t="s">
        <v>33</v>
      </c>
      <c r="T17" s="5"/>
      <c r="U17" s="7">
        <v>21377.53</v>
      </c>
      <c r="V17" s="7">
        <v>9217.99</v>
      </c>
      <c r="W17" s="7">
        <v>8512.5300000000007</v>
      </c>
      <c r="X17" s="5">
        <v>0</v>
      </c>
      <c r="Y17" s="7">
        <v>3647.01</v>
      </c>
    </row>
    <row r="18" spans="1:25" ht="24.75" x14ac:dyDescent="0.25">
      <c r="A18" s="5" t="s">
        <v>26</v>
      </c>
      <c r="B18" s="5" t="s">
        <v>44</v>
      </c>
      <c r="C18" s="5" t="s">
        <v>46</v>
      </c>
      <c r="D18" s="5" t="s">
        <v>47</v>
      </c>
      <c r="E18" s="5" t="s">
        <v>36</v>
      </c>
      <c r="F18" s="5" t="s">
        <v>72</v>
      </c>
      <c r="G18" s="5">
        <v>2020</v>
      </c>
      <c r="H18" s="5" t="str">
        <f>_xlfn.CONCAT("04210063691")</f>
        <v>04210063691</v>
      </c>
      <c r="I18" s="5" t="s">
        <v>29</v>
      </c>
      <c r="J18" s="5" t="s">
        <v>30</v>
      </c>
      <c r="K18" s="5" t="str">
        <f>_xlfn.CONCAT("")</f>
        <v/>
      </c>
      <c r="L18" s="5" t="str">
        <f>_xlfn.CONCAT("12 12.1 4a")</f>
        <v>12 12.1 4a</v>
      </c>
      <c r="M18" s="5" t="str">
        <f>_xlfn.CONCAT("FTTPLA53A70A271Y")</f>
        <v>FTTPLA53A70A271Y</v>
      </c>
      <c r="N18" s="5" t="s">
        <v>73</v>
      </c>
      <c r="O18" s="5" t="s">
        <v>68</v>
      </c>
      <c r="P18" s="6">
        <v>44176</v>
      </c>
      <c r="Q18" s="5" t="s">
        <v>31</v>
      </c>
      <c r="R18" s="5" t="s">
        <v>32</v>
      </c>
      <c r="S18" s="5" t="s">
        <v>33</v>
      </c>
      <c r="T18" s="5"/>
      <c r="U18" s="5">
        <v>98.38</v>
      </c>
      <c r="V18" s="5">
        <v>42.42</v>
      </c>
      <c r="W18" s="5">
        <v>39.17</v>
      </c>
      <c r="X18" s="5">
        <v>0</v>
      </c>
      <c r="Y18" s="5">
        <v>16.79</v>
      </c>
    </row>
    <row r="19" spans="1:25" ht="24.75" x14ac:dyDescent="0.25">
      <c r="A19" s="5" t="s">
        <v>26</v>
      </c>
      <c r="B19" s="5" t="s">
        <v>44</v>
      </c>
      <c r="C19" s="5" t="s">
        <v>46</v>
      </c>
      <c r="D19" s="5" t="s">
        <v>47</v>
      </c>
      <c r="E19" s="5" t="s">
        <v>28</v>
      </c>
      <c r="F19" s="5" t="s">
        <v>74</v>
      </c>
      <c r="G19" s="5">
        <v>2020</v>
      </c>
      <c r="H19" s="5" t="str">
        <f>_xlfn.CONCAT("04210838456")</f>
        <v>04210838456</v>
      </c>
      <c r="I19" s="5" t="s">
        <v>29</v>
      </c>
      <c r="J19" s="5" t="s">
        <v>30</v>
      </c>
      <c r="K19" s="5" t="str">
        <f>_xlfn.CONCAT("")</f>
        <v/>
      </c>
      <c r="L19" s="5" t="str">
        <f>_xlfn.CONCAT("12 12.1 4a")</f>
        <v>12 12.1 4a</v>
      </c>
      <c r="M19" s="5" t="str">
        <f>_xlfn.CONCAT("01964550436")</f>
        <v>01964550436</v>
      </c>
      <c r="N19" s="5" t="s">
        <v>75</v>
      </c>
      <c r="O19" s="5" t="s">
        <v>68</v>
      </c>
      <c r="P19" s="6">
        <v>44176</v>
      </c>
      <c r="Q19" s="5" t="s">
        <v>31</v>
      </c>
      <c r="R19" s="5" t="s">
        <v>32</v>
      </c>
      <c r="S19" s="5" t="s">
        <v>33</v>
      </c>
      <c r="T19" s="5"/>
      <c r="U19" s="5">
        <v>747.15</v>
      </c>
      <c r="V19" s="5">
        <v>322.17</v>
      </c>
      <c r="W19" s="5">
        <v>297.52</v>
      </c>
      <c r="X19" s="5">
        <v>0</v>
      </c>
      <c r="Y19" s="5">
        <v>127.46</v>
      </c>
    </row>
    <row r="20" spans="1:25" ht="24.75" x14ac:dyDescent="0.25">
      <c r="A20" s="5" t="s">
        <v>26</v>
      </c>
      <c r="B20" s="5" t="s">
        <v>44</v>
      </c>
      <c r="C20" s="5" t="s">
        <v>46</v>
      </c>
      <c r="D20" s="5" t="s">
        <v>47</v>
      </c>
      <c r="E20" s="5" t="s">
        <v>37</v>
      </c>
      <c r="F20" s="5" t="s">
        <v>76</v>
      </c>
      <c r="G20" s="5">
        <v>2020</v>
      </c>
      <c r="H20" s="5" t="str">
        <f>_xlfn.CONCAT("04210569192")</f>
        <v>04210569192</v>
      </c>
      <c r="I20" s="5" t="s">
        <v>29</v>
      </c>
      <c r="J20" s="5" t="s">
        <v>30</v>
      </c>
      <c r="K20" s="5" t="str">
        <f>_xlfn.CONCAT("")</f>
        <v/>
      </c>
      <c r="L20" s="5" t="str">
        <f>_xlfn.CONCAT("12 12.1 4a")</f>
        <v>12 12.1 4a</v>
      </c>
      <c r="M20" s="5" t="str">
        <f>_xlfn.CONCAT("00758850424")</f>
        <v>00758850424</v>
      </c>
      <c r="N20" s="5" t="s">
        <v>77</v>
      </c>
      <c r="O20" s="5" t="s">
        <v>68</v>
      </c>
      <c r="P20" s="6">
        <v>44176</v>
      </c>
      <c r="Q20" s="5" t="s">
        <v>31</v>
      </c>
      <c r="R20" s="5" t="s">
        <v>32</v>
      </c>
      <c r="S20" s="5" t="s">
        <v>33</v>
      </c>
      <c r="T20" s="5"/>
      <c r="U20" s="7">
        <v>1370.74</v>
      </c>
      <c r="V20" s="5">
        <v>591.05999999999995</v>
      </c>
      <c r="W20" s="5">
        <v>545.83000000000004</v>
      </c>
      <c r="X20" s="5">
        <v>0</v>
      </c>
      <c r="Y20" s="5">
        <v>233.85</v>
      </c>
    </row>
    <row r="21" spans="1:25" ht="24.75" x14ac:dyDescent="0.25">
      <c r="A21" s="5" t="s">
        <v>26</v>
      </c>
      <c r="B21" s="5" t="s">
        <v>44</v>
      </c>
      <c r="C21" s="5" t="s">
        <v>46</v>
      </c>
      <c r="D21" s="5" t="s">
        <v>47</v>
      </c>
      <c r="E21" s="5" t="s">
        <v>37</v>
      </c>
      <c r="F21" s="5" t="s">
        <v>76</v>
      </c>
      <c r="G21" s="5">
        <v>2020</v>
      </c>
      <c r="H21" s="5" t="str">
        <f>_xlfn.CONCAT("04210389120")</f>
        <v>04210389120</v>
      </c>
      <c r="I21" s="5" t="s">
        <v>29</v>
      </c>
      <c r="J21" s="5" t="s">
        <v>30</v>
      </c>
      <c r="K21" s="5" t="str">
        <f>_xlfn.CONCAT("")</f>
        <v/>
      </c>
      <c r="L21" s="5" t="str">
        <f>_xlfn.CONCAT("12 12.1 4a")</f>
        <v>12 12.1 4a</v>
      </c>
      <c r="M21" s="5" t="str">
        <f>_xlfn.CONCAT("02510910421")</f>
        <v>02510910421</v>
      </c>
      <c r="N21" s="5" t="s">
        <v>78</v>
      </c>
      <c r="O21" s="5" t="s">
        <v>68</v>
      </c>
      <c r="P21" s="6">
        <v>44176</v>
      </c>
      <c r="Q21" s="5" t="s">
        <v>31</v>
      </c>
      <c r="R21" s="5" t="s">
        <v>32</v>
      </c>
      <c r="S21" s="5" t="s">
        <v>33</v>
      </c>
      <c r="T21" s="5"/>
      <c r="U21" s="5">
        <v>372.91</v>
      </c>
      <c r="V21" s="5">
        <v>160.80000000000001</v>
      </c>
      <c r="W21" s="5">
        <v>148.49</v>
      </c>
      <c r="X21" s="5">
        <v>0</v>
      </c>
      <c r="Y21" s="5">
        <v>63.62</v>
      </c>
    </row>
    <row r="22" spans="1:25" ht="24.75" x14ac:dyDescent="0.25">
      <c r="A22" s="5" t="s">
        <v>26</v>
      </c>
      <c r="B22" s="5" t="s">
        <v>44</v>
      </c>
      <c r="C22" s="5" t="s">
        <v>46</v>
      </c>
      <c r="D22" s="5" t="s">
        <v>47</v>
      </c>
      <c r="E22" s="5" t="s">
        <v>37</v>
      </c>
      <c r="F22" s="5" t="s">
        <v>76</v>
      </c>
      <c r="G22" s="5">
        <v>2020</v>
      </c>
      <c r="H22" s="5" t="str">
        <f>_xlfn.CONCAT("04210137040")</f>
        <v>04210137040</v>
      </c>
      <c r="I22" s="5" t="s">
        <v>29</v>
      </c>
      <c r="J22" s="5" t="s">
        <v>30</v>
      </c>
      <c r="K22" s="5" t="str">
        <f>_xlfn.CONCAT("")</f>
        <v/>
      </c>
      <c r="L22" s="5" t="str">
        <f>_xlfn.CONCAT("12 12.1 4a")</f>
        <v>12 12.1 4a</v>
      </c>
      <c r="M22" s="5" t="str">
        <f>_xlfn.CONCAT("CRDFLD62T54F632K")</f>
        <v>CRDFLD62T54F632K</v>
      </c>
      <c r="N22" s="5" t="s">
        <v>79</v>
      </c>
      <c r="O22" s="5" t="s">
        <v>68</v>
      </c>
      <c r="P22" s="6">
        <v>44176</v>
      </c>
      <c r="Q22" s="5" t="s">
        <v>31</v>
      </c>
      <c r="R22" s="5" t="s">
        <v>32</v>
      </c>
      <c r="S22" s="5" t="s">
        <v>33</v>
      </c>
      <c r="T22" s="5"/>
      <c r="U22" s="5">
        <v>472.47</v>
      </c>
      <c r="V22" s="5">
        <v>203.73</v>
      </c>
      <c r="W22" s="5">
        <v>188.14</v>
      </c>
      <c r="X22" s="5">
        <v>0</v>
      </c>
      <c r="Y22" s="5">
        <v>80.599999999999994</v>
      </c>
    </row>
    <row r="23" spans="1:25" x14ac:dyDescent="0.25">
      <c r="A23" s="5" t="s">
        <v>26</v>
      </c>
      <c r="B23" s="5" t="s">
        <v>44</v>
      </c>
      <c r="C23" s="5" t="s">
        <v>46</v>
      </c>
      <c r="D23" s="5" t="s">
        <v>52</v>
      </c>
      <c r="E23" s="5" t="s">
        <v>38</v>
      </c>
      <c r="F23" s="5" t="s">
        <v>80</v>
      </c>
      <c r="G23" s="5">
        <v>2020</v>
      </c>
      <c r="H23" s="5" t="str">
        <f>_xlfn.CONCAT("04210186831")</f>
        <v>04210186831</v>
      </c>
      <c r="I23" s="5" t="s">
        <v>29</v>
      </c>
      <c r="J23" s="5" t="s">
        <v>30</v>
      </c>
      <c r="K23" s="5" t="str">
        <f>_xlfn.CONCAT("")</f>
        <v/>
      </c>
      <c r="L23" s="5" t="str">
        <f>_xlfn.CONCAT("13 13.1 4a")</f>
        <v>13 13.1 4a</v>
      </c>
      <c r="M23" s="5" t="str">
        <f>_xlfn.CONCAT("BSLLCU99A45I156E")</f>
        <v>BSLLCU99A45I156E</v>
      </c>
      <c r="N23" s="5" t="s">
        <v>81</v>
      </c>
      <c r="O23" s="5" t="s">
        <v>82</v>
      </c>
      <c r="P23" s="6">
        <v>44176</v>
      </c>
      <c r="Q23" s="5" t="s">
        <v>31</v>
      </c>
      <c r="R23" s="5" t="s">
        <v>32</v>
      </c>
      <c r="S23" s="5" t="s">
        <v>33</v>
      </c>
      <c r="T23" s="5"/>
      <c r="U23" s="7">
        <v>1350</v>
      </c>
      <c r="V23" s="5">
        <v>582.12</v>
      </c>
      <c r="W23" s="5">
        <v>537.57000000000005</v>
      </c>
      <c r="X23" s="5">
        <v>0</v>
      </c>
      <c r="Y23" s="5">
        <v>230.31</v>
      </c>
    </row>
    <row r="24" spans="1:25" x14ac:dyDescent="0.25">
      <c r="A24" s="5" t="s">
        <v>26</v>
      </c>
      <c r="B24" s="5" t="s">
        <v>44</v>
      </c>
      <c r="C24" s="5" t="s">
        <v>46</v>
      </c>
      <c r="D24" s="5" t="s">
        <v>52</v>
      </c>
      <c r="E24" s="5" t="s">
        <v>38</v>
      </c>
      <c r="F24" s="5" t="s">
        <v>83</v>
      </c>
      <c r="G24" s="5">
        <v>2019</v>
      </c>
      <c r="H24" s="5" t="str">
        <f>_xlfn.CONCAT("94210349554")</f>
        <v>94210349554</v>
      </c>
      <c r="I24" s="5" t="s">
        <v>29</v>
      </c>
      <c r="J24" s="5" t="s">
        <v>30</v>
      </c>
      <c r="K24" s="5" t="str">
        <f>_xlfn.CONCAT("")</f>
        <v/>
      </c>
      <c r="L24" s="5" t="str">
        <f>_xlfn.CONCAT("13 13.1 4a")</f>
        <v>13 13.1 4a</v>
      </c>
      <c r="M24" s="5" t="str">
        <f>_xlfn.CONCAT("MGLPTR62E24I156J")</f>
        <v>MGLPTR62E24I156J</v>
      </c>
      <c r="N24" s="5" t="s">
        <v>84</v>
      </c>
      <c r="O24" s="5" t="s">
        <v>82</v>
      </c>
      <c r="P24" s="6">
        <v>44176</v>
      </c>
      <c r="Q24" s="5" t="s">
        <v>31</v>
      </c>
      <c r="R24" s="5" t="s">
        <v>32</v>
      </c>
      <c r="S24" s="5" t="s">
        <v>33</v>
      </c>
      <c r="T24" s="5"/>
      <c r="U24" s="5">
        <v>413.66</v>
      </c>
      <c r="V24" s="5">
        <v>178.37</v>
      </c>
      <c r="W24" s="5">
        <v>164.72</v>
      </c>
      <c r="X24" s="5">
        <v>0</v>
      </c>
      <c r="Y24" s="5">
        <v>70.569999999999993</v>
      </c>
    </row>
    <row r="25" spans="1:25" ht="24.75" x14ac:dyDescent="0.25">
      <c r="A25" s="5" t="s">
        <v>26</v>
      </c>
      <c r="B25" s="5" t="s">
        <v>44</v>
      </c>
      <c r="C25" s="5" t="s">
        <v>46</v>
      </c>
      <c r="D25" s="5" t="s">
        <v>47</v>
      </c>
      <c r="E25" s="5" t="s">
        <v>37</v>
      </c>
      <c r="F25" s="5" t="s">
        <v>66</v>
      </c>
      <c r="G25" s="5">
        <v>2019</v>
      </c>
      <c r="H25" s="5" t="str">
        <f>_xlfn.CONCAT("94241733941")</f>
        <v>94241733941</v>
      </c>
      <c r="I25" s="5" t="s">
        <v>29</v>
      </c>
      <c r="J25" s="5" t="s">
        <v>30</v>
      </c>
      <c r="K25" s="5" t="str">
        <f>_xlfn.CONCAT("")</f>
        <v/>
      </c>
      <c r="L25" s="5" t="str">
        <f>_xlfn.CONCAT("10 10.1 4a")</f>
        <v>10 10.1 4a</v>
      </c>
      <c r="M25" s="5" t="str">
        <f>_xlfn.CONCAT("01474980420")</f>
        <v>01474980420</v>
      </c>
      <c r="N25" s="5" t="s">
        <v>85</v>
      </c>
      <c r="O25" s="5" t="s">
        <v>86</v>
      </c>
      <c r="P25" s="6">
        <v>44176</v>
      </c>
      <c r="Q25" s="5" t="s">
        <v>31</v>
      </c>
      <c r="R25" s="5" t="s">
        <v>32</v>
      </c>
      <c r="S25" s="5" t="s">
        <v>33</v>
      </c>
      <c r="T25" s="5"/>
      <c r="U25" s="5">
        <v>333.52</v>
      </c>
      <c r="V25" s="5">
        <v>143.81</v>
      </c>
      <c r="W25" s="5">
        <v>132.81</v>
      </c>
      <c r="X25" s="5">
        <v>0</v>
      </c>
      <c r="Y25" s="5">
        <v>56.9</v>
      </c>
    </row>
    <row r="26" spans="1:25" x14ac:dyDescent="0.25">
      <c r="A26" s="5" t="s">
        <v>26</v>
      </c>
      <c r="B26" s="5" t="s">
        <v>44</v>
      </c>
      <c r="C26" s="5" t="s">
        <v>46</v>
      </c>
      <c r="D26" s="5" t="s">
        <v>52</v>
      </c>
      <c r="E26" s="5" t="s">
        <v>37</v>
      </c>
      <c r="F26" s="5" t="s">
        <v>53</v>
      </c>
      <c r="G26" s="5">
        <v>2019</v>
      </c>
      <c r="H26" s="5" t="str">
        <f>_xlfn.CONCAT("94240152309")</f>
        <v>94240152309</v>
      </c>
      <c r="I26" s="5" t="s">
        <v>29</v>
      </c>
      <c r="J26" s="5" t="s">
        <v>30</v>
      </c>
      <c r="K26" s="5" t="str">
        <f>_xlfn.CONCAT("")</f>
        <v/>
      </c>
      <c r="L26" s="5" t="str">
        <f>_xlfn.CONCAT("11 11.1 4b")</f>
        <v>11 11.1 4b</v>
      </c>
      <c r="M26" s="5" t="str">
        <f>_xlfn.CONCAT("01883030437")</f>
        <v>01883030437</v>
      </c>
      <c r="N26" s="5" t="s">
        <v>87</v>
      </c>
      <c r="O26" s="5" t="s">
        <v>88</v>
      </c>
      <c r="P26" s="6">
        <v>44176</v>
      </c>
      <c r="Q26" s="5" t="s">
        <v>31</v>
      </c>
      <c r="R26" s="5" t="s">
        <v>32</v>
      </c>
      <c r="S26" s="5" t="s">
        <v>33</v>
      </c>
      <c r="T26" s="5"/>
      <c r="U26" s="7">
        <v>14259.14</v>
      </c>
      <c r="V26" s="7">
        <v>6148.54</v>
      </c>
      <c r="W26" s="7">
        <v>5677.99</v>
      </c>
      <c r="X26" s="5">
        <v>0</v>
      </c>
      <c r="Y26" s="7">
        <v>2432.61</v>
      </c>
    </row>
    <row r="27" spans="1:25" x14ac:dyDescent="0.25">
      <c r="A27" s="5" t="s">
        <v>26</v>
      </c>
      <c r="B27" s="5" t="s">
        <v>44</v>
      </c>
      <c r="C27" s="5" t="s">
        <v>46</v>
      </c>
      <c r="D27" s="5" t="s">
        <v>52</v>
      </c>
      <c r="E27" s="5" t="s">
        <v>38</v>
      </c>
      <c r="F27" s="5" t="s">
        <v>89</v>
      </c>
      <c r="G27" s="5">
        <v>2018</v>
      </c>
      <c r="H27" s="5" t="str">
        <f>_xlfn.CONCAT("84240902589")</f>
        <v>84240902589</v>
      </c>
      <c r="I27" s="5" t="s">
        <v>29</v>
      </c>
      <c r="J27" s="5" t="s">
        <v>30</v>
      </c>
      <c r="K27" s="5" t="str">
        <f>_xlfn.CONCAT("")</f>
        <v/>
      </c>
      <c r="L27" s="5" t="str">
        <f>_xlfn.CONCAT("11 11.2 4b")</f>
        <v>11 11.2 4b</v>
      </c>
      <c r="M27" s="5" t="str">
        <f>_xlfn.CONCAT("BRNGMR60R26H211B")</f>
        <v>BRNGMR60R26H211B</v>
      </c>
      <c r="N27" s="5" t="s">
        <v>90</v>
      </c>
      <c r="O27" s="5" t="s">
        <v>88</v>
      </c>
      <c r="P27" s="6">
        <v>44176</v>
      </c>
      <c r="Q27" s="5" t="s">
        <v>31</v>
      </c>
      <c r="R27" s="5" t="s">
        <v>32</v>
      </c>
      <c r="S27" s="5" t="s">
        <v>33</v>
      </c>
      <c r="T27" s="5"/>
      <c r="U27" s="7">
        <v>4828.13</v>
      </c>
      <c r="V27" s="7">
        <v>2081.89</v>
      </c>
      <c r="W27" s="7">
        <v>1922.56</v>
      </c>
      <c r="X27" s="5">
        <v>0</v>
      </c>
      <c r="Y27" s="5">
        <v>823.68</v>
      </c>
    </row>
    <row r="28" spans="1:25" x14ac:dyDescent="0.25">
      <c r="A28" s="5" t="s">
        <v>26</v>
      </c>
      <c r="B28" s="5" t="s">
        <v>44</v>
      </c>
      <c r="C28" s="5" t="s">
        <v>46</v>
      </c>
      <c r="D28" s="5" t="s">
        <v>52</v>
      </c>
      <c r="E28" s="5" t="s">
        <v>37</v>
      </c>
      <c r="F28" s="5" t="s">
        <v>91</v>
      </c>
      <c r="G28" s="5">
        <v>2019</v>
      </c>
      <c r="H28" s="5" t="str">
        <f>_xlfn.CONCAT("94240769664")</f>
        <v>94240769664</v>
      </c>
      <c r="I28" s="5" t="s">
        <v>29</v>
      </c>
      <c r="J28" s="5" t="s">
        <v>30</v>
      </c>
      <c r="K28" s="5" t="str">
        <f>_xlfn.CONCAT("")</f>
        <v/>
      </c>
      <c r="L28" s="5" t="str">
        <f>_xlfn.CONCAT("10 10.1 4a")</f>
        <v>10 10.1 4a</v>
      </c>
      <c r="M28" s="5" t="str">
        <f>_xlfn.CONCAT("SCLMRC88D03D024S")</f>
        <v>SCLMRC88D03D024S</v>
      </c>
      <c r="N28" s="5" t="s">
        <v>92</v>
      </c>
      <c r="O28" s="5" t="s">
        <v>55</v>
      </c>
      <c r="P28" s="6">
        <v>44176</v>
      </c>
      <c r="Q28" s="5" t="s">
        <v>31</v>
      </c>
      <c r="R28" s="5" t="s">
        <v>32</v>
      </c>
      <c r="S28" s="5" t="s">
        <v>33</v>
      </c>
      <c r="T28" s="5"/>
      <c r="U28" s="7">
        <v>8562.2199999999993</v>
      </c>
      <c r="V28" s="7">
        <v>3692.03</v>
      </c>
      <c r="W28" s="7">
        <v>3409.48</v>
      </c>
      <c r="X28" s="5">
        <v>0</v>
      </c>
      <c r="Y28" s="7">
        <v>1460.71</v>
      </c>
    </row>
    <row r="29" spans="1:25" ht="24.75" x14ac:dyDescent="0.25">
      <c r="A29" s="5" t="s">
        <v>26</v>
      </c>
      <c r="B29" s="5" t="s">
        <v>44</v>
      </c>
      <c r="C29" s="5" t="s">
        <v>46</v>
      </c>
      <c r="D29" s="5" t="s">
        <v>93</v>
      </c>
      <c r="E29" s="5" t="s">
        <v>36</v>
      </c>
      <c r="F29" s="5" t="s">
        <v>94</v>
      </c>
      <c r="G29" s="5">
        <v>2018</v>
      </c>
      <c r="H29" s="5" t="str">
        <f>_xlfn.CONCAT("84210106229")</f>
        <v>84210106229</v>
      </c>
      <c r="I29" s="5" t="s">
        <v>29</v>
      </c>
      <c r="J29" s="5" t="s">
        <v>30</v>
      </c>
      <c r="K29" s="5" t="str">
        <f>_xlfn.CONCAT("")</f>
        <v/>
      </c>
      <c r="L29" s="5" t="str">
        <f>_xlfn.CONCAT("13 13.1 4a")</f>
        <v>13 13.1 4a</v>
      </c>
      <c r="M29" s="5" t="str">
        <f>_xlfn.CONCAT("CCCSFN56P16A462K")</f>
        <v>CCCSFN56P16A462K</v>
      </c>
      <c r="N29" s="5" t="s">
        <v>95</v>
      </c>
      <c r="O29" s="5" t="s">
        <v>82</v>
      </c>
      <c r="P29" s="6">
        <v>44176</v>
      </c>
      <c r="Q29" s="5" t="s">
        <v>31</v>
      </c>
      <c r="R29" s="5" t="s">
        <v>32</v>
      </c>
      <c r="S29" s="5" t="s">
        <v>33</v>
      </c>
      <c r="T29" s="5"/>
      <c r="U29" s="7">
        <v>1422.17</v>
      </c>
      <c r="V29" s="5">
        <v>613.24</v>
      </c>
      <c r="W29" s="5">
        <v>566.30999999999995</v>
      </c>
      <c r="X29" s="5">
        <v>0</v>
      </c>
      <c r="Y29" s="5">
        <v>242.62</v>
      </c>
    </row>
    <row r="30" spans="1:25" ht="24.75" x14ac:dyDescent="0.25">
      <c r="A30" s="5" t="s">
        <v>26</v>
      </c>
      <c r="B30" s="5" t="s">
        <v>44</v>
      </c>
      <c r="C30" s="5" t="s">
        <v>46</v>
      </c>
      <c r="D30" s="5" t="s">
        <v>47</v>
      </c>
      <c r="E30" s="5" t="s">
        <v>37</v>
      </c>
      <c r="F30" s="5" t="s">
        <v>96</v>
      </c>
      <c r="G30" s="5">
        <v>2017</v>
      </c>
      <c r="H30" s="5" t="str">
        <f>_xlfn.CONCAT("74240830096")</f>
        <v>74240830096</v>
      </c>
      <c r="I30" s="5" t="s">
        <v>29</v>
      </c>
      <c r="J30" s="5" t="s">
        <v>30</v>
      </c>
      <c r="K30" s="5" t="str">
        <f>_xlfn.CONCAT("")</f>
        <v/>
      </c>
      <c r="L30" s="5" t="str">
        <f>_xlfn.CONCAT("10 10.1 4a")</f>
        <v>10 10.1 4a</v>
      </c>
      <c r="M30" s="5" t="str">
        <f>_xlfn.CONCAT("DTTDRD90S22E388C")</f>
        <v>DTTDRD90S22E388C</v>
      </c>
      <c r="N30" s="5" t="s">
        <v>97</v>
      </c>
      <c r="O30" s="5" t="s">
        <v>86</v>
      </c>
      <c r="P30" s="6">
        <v>44176</v>
      </c>
      <c r="Q30" s="5" t="s">
        <v>31</v>
      </c>
      <c r="R30" s="5" t="s">
        <v>32</v>
      </c>
      <c r="S30" s="5" t="s">
        <v>33</v>
      </c>
      <c r="T30" s="5"/>
      <c r="U30" s="5">
        <v>279.76</v>
      </c>
      <c r="V30" s="5">
        <v>120.63</v>
      </c>
      <c r="W30" s="5">
        <v>111.4</v>
      </c>
      <c r="X30" s="5">
        <v>0</v>
      </c>
      <c r="Y30" s="5">
        <v>47.73</v>
      </c>
    </row>
    <row r="31" spans="1:25" ht="24.75" x14ac:dyDescent="0.25">
      <c r="A31" s="5" t="s">
        <v>26</v>
      </c>
      <c r="B31" s="5" t="s">
        <v>44</v>
      </c>
      <c r="C31" s="5" t="s">
        <v>46</v>
      </c>
      <c r="D31" s="5" t="s">
        <v>47</v>
      </c>
      <c r="E31" s="5" t="s">
        <v>37</v>
      </c>
      <c r="F31" s="5" t="s">
        <v>96</v>
      </c>
      <c r="G31" s="5">
        <v>2019</v>
      </c>
      <c r="H31" s="5" t="str">
        <f>_xlfn.CONCAT("94240687593")</f>
        <v>94240687593</v>
      </c>
      <c r="I31" s="5" t="s">
        <v>29</v>
      </c>
      <c r="J31" s="5" t="s">
        <v>30</v>
      </c>
      <c r="K31" s="5" t="str">
        <f>_xlfn.CONCAT("")</f>
        <v/>
      </c>
      <c r="L31" s="5" t="str">
        <f>_xlfn.CONCAT("10 10.1 4a")</f>
        <v>10 10.1 4a</v>
      </c>
      <c r="M31" s="5" t="str">
        <f>_xlfn.CONCAT("DTTDRD90S22E388C")</f>
        <v>DTTDRD90S22E388C</v>
      </c>
      <c r="N31" s="5" t="s">
        <v>97</v>
      </c>
      <c r="O31" s="5" t="s">
        <v>86</v>
      </c>
      <c r="P31" s="6">
        <v>44176</v>
      </c>
      <c r="Q31" s="5" t="s">
        <v>31</v>
      </c>
      <c r="R31" s="5" t="s">
        <v>32</v>
      </c>
      <c r="S31" s="5" t="s">
        <v>33</v>
      </c>
      <c r="T31" s="5"/>
      <c r="U31" s="5">
        <v>279.76</v>
      </c>
      <c r="V31" s="5">
        <v>120.63</v>
      </c>
      <c r="W31" s="5">
        <v>111.4</v>
      </c>
      <c r="X31" s="5">
        <v>0</v>
      </c>
      <c r="Y31" s="5">
        <v>47.73</v>
      </c>
    </row>
    <row r="32" spans="1:25" ht="24.75" x14ac:dyDescent="0.25">
      <c r="A32" s="5" t="s">
        <v>26</v>
      </c>
      <c r="B32" s="5" t="s">
        <v>44</v>
      </c>
      <c r="C32" s="5" t="s">
        <v>46</v>
      </c>
      <c r="D32" s="5" t="s">
        <v>47</v>
      </c>
      <c r="E32" s="5" t="s">
        <v>37</v>
      </c>
      <c r="F32" s="5" t="s">
        <v>96</v>
      </c>
      <c r="G32" s="5">
        <v>2018</v>
      </c>
      <c r="H32" s="5" t="str">
        <f>_xlfn.CONCAT("84240709950")</f>
        <v>84240709950</v>
      </c>
      <c r="I32" s="5" t="s">
        <v>29</v>
      </c>
      <c r="J32" s="5" t="s">
        <v>30</v>
      </c>
      <c r="K32" s="5" t="str">
        <f>_xlfn.CONCAT("")</f>
        <v/>
      </c>
      <c r="L32" s="5" t="str">
        <f>_xlfn.CONCAT("10 10.1 4a")</f>
        <v>10 10.1 4a</v>
      </c>
      <c r="M32" s="5" t="str">
        <f>_xlfn.CONCAT("DTTDRD90S22E388C")</f>
        <v>DTTDRD90S22E388C</v>
      </c>
      <c r="N32" s="5" t="s">
        <v>97</v>
      </c>
      <c r="O32" s="5" t="s">
        <v>86</v>
      </c>
      <c r="P32" s="6">
        <v>44176</v>
      </c>
      <c r="Q32" s="5" t="s">
        <v>31</v>
      </c>
      <c r="R32" s="5" t="s">
        <v>32</v>
      </c>
      <c r="S32" s="5" t="s">
        <v>33</v>
      </c>
      <c r="T32" s="5"/>
      <c r="U32" s="5">
        <v>279.76</v>
      </c>
      <c r="V32" s="5">
        <v>120.63</v>
      </c>
      <c r="W32" s="5">
        <v>111.4</v>
      </c>
      <c r="X32" s="5">
        <v>0</v>
      </c>
      <c r="Y32" s="5">
        <v>47.73</v>
      </c>
    </row>
    <row r="33" spans="1:25" x14ac:dyDescent="0.25">
      <c r="A33" s="5" t="s">
        <v>26</v>
      </c>
      <c r="B33" s="5" t="s">
        <v>44</v>
      </c>
      <c r="C33" s="5" t="s">
        <v>46</v>
      </c>
      <c r="D33" s="5" t="s">
        <v>52</v>
      </c>
      <c r="E33" s="5" t="s">
        <v>36</v>
      </c>
      <c r="F33" s="5" t="s">
        <v>98</v>
      </c>
      <c r="G33" s="5">
        <v>2018</v>
      </c>
      <c r="H33" s="5" t="str">
        <f>_xlfn.CONCAT("84240130751")</f>
        <v>84240130751</v>
      </c>
      <c r="I33" s="5" t="s">
        <v>29</v>
      </c>
      <c r="J33" s="5" t="s">
        <v>30</v>
      </c>
      <c r="K33" s="5" t="str">
        <f>_xlfn.CONCAT("")</f>
        <v/>
      </c>
      <c r="L33" s="5" t="str">
        <f>_xlfn.CONCAT("11 11.2 4b")</f>
        <v>11 11.2 4b</v>
      </c>
      <c r="M33" s="5" t="str">
        <f>_xlfn.CONCAT("RCLSVN50A08L191E")</f>
        <v>RCLSVN50A08L191E</v>
      </c>
      <c r="N33" s="5" t="s">
        <v>99</v>
      </c>
      <c r="O33" s="5" t="s">
        <v>88</v>
      </c>
      <c r="P33" s="6">
        <v>44176</v>
      </c>
      <c r="Q33" s="5" t="s">
        <v>31</v>
      </c>
      <c r="R33" s="5" t="s">
        <v>32</v>
      </c>
      <c r="S33" s="5" t="s">
        <v>33</v>
      </c>
      <c r="T33" s="5"/>
      <c r="U33" s="7">
        <v>2238.4899999999998</v>
      </c>
      <c r="V33" s="5">
        <v>965.24</v>
      </c>
      <c r="W33" s="5">
        <v>891.37</v>
      </c>
      <c r="X33" s="5">
        <v>0</v>
      </c>
      <c r="Y33" s="5">
        <v>381.88</v>
      </c>
    </row>
    <row r="34" spans="1:25" x14ac:dyDescent="0.25">
      <c r="A34" s="5" t="s">
        <v>26</v>
      </c>
      <c r="B34" s="5" t="s">
        <v>44</v>
      </c>
      <c r="C34" s="5" t="s">
        <v>46</v>
      </c>
      <c r="D34" s="5" t="s">
        <v>52</v>
      </c>
      <c r="E34" s="5" t="s">
        <v>36</v>
      </c>
      <c r="F34" s="5" t="s">
        <v>98</v>
      </c>
      <c r="G34" s="5">
        <v>2019</v>
      </c>
      <c r="H34" s="5" t="str">
        <f>_xlfn.CONCAT("94240699820")</f>
        <v>94240699820</v>
      </c>
      <c r="I34" s="5" t="s">
        <v>29</v>
      </c>
      <c r="J34" s="5" t="s">
        <v>30</v>
      </c>
      <c r="K34" s="5" t="str">
        <f>_xlfn.CONCAT("")</f>
        <v/>
      </c>
      <c r="L34" s="5" t="str">
        <f>_xlfn.CONCAT("11 11.2 4b")</f>
        <v>11 11.2 4b</v>
      </c>
      <c r="M34" s="5" t="str">
        <f>_xlfn.CONCAT("RCLSVN50A08L191E")</f>
        <v>RCLSVN50A08L191E</v>
      </c>
      <c r="N34" s="5" t="s">
        <v>99</v>
      </c>
      <c r="O34" s="5" t="s">
        <v>88</v>
      </c>
      <c r="P34" s="6">
        <v>44176</v>
      </c>
      <c r="Q34" s="5" t="s">
        <v>31</v>
      </c>
      <c r="R34" s="5" t="s">
        <v>32</v>
      </c>
      <c r="S34" s="5" t="s">
        <v>33</v>
      </c>
      <c r="T34" s="5"/>
      <c r="U34" s="7">
        <v>1040.57</v>
      </c>
      <c r="V34" s="5">
        <v>448.69</v>
      </c>
      <c r="W34" s="5">
        <v>414.35</v>
      </c>
      <c r="X34" s="5">
        <v>0</v>
      </c>
      <c r="Y34" s="5">
        <v>177.53</v>
      </c>
    </row>
    <row r="35" spans="1:25" x14ac:dyDescent="0.25">
      <c r="A35" s="5" t="s">
        <v>26</v>
      </c>
      <c r="B35" s="5" t="s">
        <v>44</v>
      </c>
      <c r="C35" s="5" t="s">
        <v>46</v>
      </c>
      <c r="D35" s="5" t="s">
        <v>52</v>
      </c>
      <c r="E35" s="5" t="s">
        <v>38</v>
      </c>
      <c r="F35" s="5" t="s">
        <v>89</v>
      </c>
      <c r="G35" s="5">
        <v>2020</v>
      </c>
      <c r="H35" s="5" t="str">
        <f>_xlfn.CONCAT("04240396889")</f>
        <v>04240396889</v>
      </c>
      <c r="I35" s="5" t="s">
        <v>29</v>
      </c>
      <c r="J35" s="5" t="s">
        <v>30</v>
      </c>
      <c r="K35" s="5" t="str">
        <f>_xlfn.CONCAT("")</f>
        <v/>
      </c>
      <c r="L35" s="5" t="str">
        <f>_xlfn.CONCAT("11 11.2 4b")</f>
        <v>11 11.2 4b</v>
      </c>
      <c r="M35" s="5" t="str">
        <f>_xlfn.CONCAT("DLLRFL60B21E783M")</f>
        <v>DLLRFL60B21E783M</v>
      </c>
      <c r="N35" s="5" t="s">
        <v>100</v>
      </c>
      <c r="O35" s="5" t="s">
        <v>88</v>
      </c>
      <c r="P35" s="6">
        <v>44176</v>
      </c>
      <c r="Q35" s="5" t="s">
        <v>31</v>
      </c>
      <c r="R35" s="5" t="s">
        <v>32</v>
      </c>
      <c r="S35" s="5" t="s">
        <v>33</v>
      </c>
      <c r="T35" s="5"/>
      <c r="U35" s="7">
        <v>9596.49</v>
      </c>
      <c r="V35" s="7">
        <v>4138.01</v>
      </c>
      <c r="W35" s="7">
        <v>3821.32</v>
      </c>
      <c r="X35" s="5">
        <v>0</v>
      </c>
      <c r="Y35" s="7">
        <v>1637.16</v>
      </c>
    </row>
    <row r="36" spans="1:25" x14ac:dyDescent="0.25">
      <c r="A36" s="5" t="s">
        <v>26</v>
      </c>
      <c r="B36" s="5" t="s">
        <v>44</v>
      </c>
      <c r="C36" s="5" t="s">
        <v>46</v>
      </c>
      <c r="D36" s="5" t="s">
        <v>52</v>
      </c>
      <c r="E36" s="5" t="s">
        <v>40</v>
      </c>
      <c r="F36" s="5" t="s">
        <v>101</v>
      </c>
      <c r="G36" s="5">
        <v>2018</v>
      </c>
      <c r="H36" s="5" t="str">
        <f>_xlfn.CONCAT("84240769566")</f>
        <v>84240769566</v>
      </c>
      <c r="I36" s="5" t="s">
        <v>29</v>
      </c>
      <c r="J36" s="5" t="s">
        <v>30</v>
      </c>
      <c r="K36" s="5" t="str">
        <f>_xlfn.CONCAT("")</f>
        <v/>
      </c>
      <c r="L36" s="5" t="str">
        <f>_xlfn.CONCAT("11 11.2 4b")</f>
        <v>11 11.2 4b</v>
      </c>
      <c r="M36" s="5" t="str">
        <f>_xlfn.CONCAT("SBBMRZ58R08M078P")</f>
        <v>SBBMRZ58R08M078P</v>
      </c>
      <c r="N36" s="5" t="s">
        <v>102</v>
      </c>
      <c r="O36" s="5" t="s">
        <v>88</v>
      </c>
      <c r="P36" s="6">
        <v>44176</v>
      </c>
      <c r="Q36" s="5" t="s">
        <v>31</v>
      </c>
      <c r="R36" s="5" t="s">
        <v>32</v>
      </c>
      <c r="S36" s="5" t="s">
        <v>33</v>
      </c>
      <c r="T36" s="5"/>
      <c r="U36" s="7">
        <v>20195.16</v>
      </c>
      <c r="V36" s="7">
        <v>8708.15</v>
      </c>
      <c r="W36" s="7">
        <v>8041.71</v>
      </c>
      <c r="X36" s="5">
        <v>0</v>
      </c>
      <c r="Y36" s="7">
        <v>3445.3</v>
      </c>
    </row>
    <row r="37" spans="1:25" x14ac:dyDescent="0.25">
      <c r="A37" s="5" t="s">
        <v>26</v>
      </c>
      <c r="B37" s="5" t="s">
        <v>44</v>
      </c>
      <c r="C37" s="5" t="s">
        <v>46</v>
      </c>
      <c r="D37" s="5" t="s">
        <v>52</v>
      </c>
      <c r="E37" s="5" t="s">
        <v>43</v>
      </c>
      <c r="F37" s="5" t="s">
        <v>103</v>
      </c>
      <c r="G37" s="5">
        <v>2019</v>
      </c>
      <c r="H37" s="5" t="str">
        <f>_xlfn.CONCAT("94240874472")</f>
        <v>94240874472</v>
      </c>
      <c r="I37" s="5" t="s">
        <v>29</v>
      </c>
      <c r="J37" s="5" t="s">
        <v>30</v>
      </c>
      <c r="K37" s="5" t="str">
        <f>_xlfn.CONCAT("")</f>
        <v/>
      </c>
      <c r="L37" s="5" t="str">
        <f>_xlfn.CONCAT("11 11.1 4b")</f>
        <v>11 11.1 4b</v>
      </c>
      <c r="M37" s="5" t="str">
        <f>_xlfn.CONCAT("FLSGRL87T22D451V")</f>
        <v>FLSGRL87T22D451V</v>
      </c>
      <c r="N37" s="5" t="s">
        <v>104</v>
      </c>
      <c r="O37" s="5" t="s">
        <v>88</v>
      </c>
      <c r="P37" s="6">
        <v>44176</v>
      </c>
      <c r="Q37" s="5" t="s">
        <v>31</v>
      </c>
      <c r="R37" s="5" t="s">
        <v>32</v>
      </c>
      <c r="S37" s="5" t="s">
        <v>33</v>
      </c>
      <c r="T37" s="5"/>
      <c r="U37" s="5">
        <v>632.79</v>
      </c>
      <c r="V37" s="5">
        <v>272.86</v>
      </c>
      <c r="W37" s="5">
        <v>251.98</v>
      </c>
      <c r="X37" s="5">
        <v>0</v>
      </c>
      <c r="Y37" s="5">
        <v>107.95</v>
      </c>
    </row>
    <row r="38" spans="1:25" x14ac:dyDescent="0.25">
      <c r="A38" s="5" t="s">
        <v>26</v>
      </c>
      <c r="B38" s="5" t="s">
        <v>44</v>
      </c>
      <c r="C38" s="5" t="s">
        <v>46</v>
      </c>
      <c r="D38" s="5" t="s">
        <v>52</v>
      </c>
      <c r="E38" s="5" t="s">
        <v>43</v>
      </c>
      <c r="F38" s="5" t="s">
        <v>103</v>
      </c>
      <c r="G38" s="5">
        <v>2018</v>
      </c>
      <c r="H38" s="5" t="str">
        <f>_xlfn.CONCAT("84240543730")</f>
        <v>84240543730</v>
      </c>
      <c r="I38" s="5" t="s">
        <v>29</v>
      </c>
      <c r="J38" s="5" t="s">
        <v>30</v>
      </c>
      <c r="K38" s="5" t="str">
        <f>_xlfn.CONCAT("")</f>
        <v/>
      </c>
      <c r="L38" s="5" t="str">
        <f>_xlfn.CONCAT("11 11.1 4b")</f>
        <v>11 11.1 4b</v>
      </c>
      <c r="M38" s="5" t="str">
        <f>_xlfn.CONCAT("FLSGRL87T22D451V")</f>
        <v>FLSGRL87T22D451V</v>
      </c>
      <c r="N38" s="5" t="s">
        <v>104</v>
      </c>
      <c r="O38" s="5" t="s">
        <v>88</v>
      </c>
      <c r="P38" s="6">
        <v>44176</v>
      </c>
      <c r="Q38" s="5" t="s">
        <v>31</v>
      </c>
      <c r="R38" s="5" t="s">
        <v>32</v>
      </c>
      <c r="S38" s="5" t="s">
        <v>33</v>
      </c>
      <c r="T38" s="5"/>
      <c r="U38" s="5">
        <v>300.10000000000002</v>
      </c>
      <c r="V38" s="5">
        <v>129.4</v>
      </c>
      <c r="W38" s="5">
        <v>119.5</v>
      </c>
      <c r="X38" s="5">
        <v>0</v>
      </c>
      <c r="Y38" s="5">
        <v>51.2</v>
      </c>
    </row>
    <row r="39" spans="1:25" ht="24.75" x14ac:dyDescent="0.25">
      <c r="A39" s="5" t="s">
        <v>26</v>
      </c>
      <c r="B39" s="5" t="s">
        <v>44</v>
      </c>
      <c r="C39" s="5" t="s">
        <v>46</v>
      </c>
      <c r="D39" s="5" t="s">
        <v>52</v>
      </c>
      <c r="E39" s="5" t="s">
        <v>40</v>
      </c>
      <c r="F39" s="5" t="s">
        <v>105</v>
      </c>
      <c r="G39" s="5">
        <v>2018</v>
      </c>
      <c r="H39" s="5" t="str">
        <f>_xlfn.CONCAT("84240746333")</f>
        <v>84240746333</v>
      </c>
      <c r="I39" s="5" t="s">
        <v>29</v>
      </c>
      <c r="J39" s="5" t="s">
        <v>30</v>
      </c>
      <c r="K39" s="5" t="str">
        <f>_xlfn.CONCAT("")</f>
        <v/>
      </c>
      <c r="L39" s="5" t="str">
        <f>_xlfn.CONCAT("11 11.2 4b")</f>
        <v>11 11.2 4b</v>
      </c>
      <c r="M39" s="5" t="str">
        <f>_xlfn.CONCAT("00847340437")</f>
        <v>00847340437</v>
      </c>
      <c r="N39" s="5" t="s">
        <v>106</v>
      </c>
      <c r="O39" s="5" t="s">
        <v>88</v>
      </c>
      <c r="P39" s="6">
        <v>44176</v>
      </c>
      <c r="Q39" s="5" t="s">
        <v>31</v>
      </c>
      <c r="R39" s="5" t="s">
        <v>32</v>
      </c>
      <c r="S39" s="5" t="s">
        <v>33</v>
      </c>
      <c r="T39" s="5"/>
      <c r="U39" s="7">
        <v>8873.82</v>
      </c>
      <c r="V39" s="7">
        <v>3826.39</v>
      </c>
      <c r="W39" s="7">
        <v>3533.56</v>
      </c>
      <c r="X39" s="5">
        <v>0</v>
      </c>
      <c r="Y39" s="7">
        <v>1513.87</v>
      </c>
    </row>
    <row r="40" spans="1:25" x14ac:dyDescent="0.25">
      <c r="A40" s="5" t="s">
        <v>26</v>
      </c>
      <c r="B40" s="5" t="s">
        <v>44</v>
      </c>
      <c r="C40" s="5" t="s">
        <v>46</v>
      </c>
      <c r="D40" s="5" t="s">
        <v>52</v>
      </c>
      <c r="E40" s="5" t="s">
        <v>38</v>
      </c>
      <c r="F40" s="5" t="s">
        <v>89</v>
      </c>
      <c r="G40" s="5">
        <v>2017</v>
      </c>
      <c r="H40" s="5" t="str">
        <f>_xlfn.CONCAT("74240337381")</f>
        <v>74240337381</v>
      </c>
      <c r="I40" s="5" t="s">
        <v>29</v>
      </c>
      <c r="J40" s="5" t="s">
        <v>30</v>
      </c>
      <c r="K40" s="5" t="str">
        <f>_xlfn.CONCAT("")</f>
        <v/>
      </c>
      <c r="L40" s="5" t="str">
        <f>_xlfn.CONCAT("11 11.1 4b")</f>
        <v>11 11.1 4b</v>
      </c>
      <c r="M40" s="5" t="str">
        <f>_xlfn.CONCAT("CRDVNT76M18L191O")</f>
        <v>CRDVNT76M18L191O</v>
      </c>
      <c r="N40" s="5" t="s">
        <v>107</v>
      </c>
      <c r="O40" s="5" t="s">
        <v>88</v>
      </c>
      <c r="P40" s="6">
        <v>44176</v>
      </c>
      <c r="Q40" s="5" t="s">
        <v>31</v>
      </c>
      <c r="R40" s="5" t="s">
        <v>32</v>
      </c>
      <c r="S40" s="5" t="s">
        <v>33</v>
      </c>
      <c r="T40" s="5"/>
      <c r="U40" s="5">
        <v>361.4</v>
      </c>
      <c r="V40" s="5">
        <v>155.84</v>
      </c>
      <c r="W40" s="5">
        <v>143.91</v>
      </c>
      <c r="X40" s="5">
        <v>0</v>
      </c>
      <c r="Y40" s="5">
        <v>61.65</v>
      </c>
    </row>
    <row r="41" spans="1:25" x14ac:dyDescent="0.25">
      <c r="A41" s="5" t="s">
        <v>26</v>
      </c>
      <c r="B41" s="5" t="s">
        <v>44</v>
      </c>
      <c r="C41" s="5" t="s">
        <v>46</v>
      </c>
      <c r="D41" s="5" t="s">
        <v>52</v>
      </c>
      <c r="E41" s="5" t="s">
        <v>38</v>
      </c>
      <c r="F41" s="5" t="s">
        <v>89</v>
      </c>
      <c r="G41" s="5">
        <v>2018</v>
      </c>
      <c r="H41" s="5" t="str">
        <f>_xlfn.CONCAT("84240910780")</f>
        <v>84240910780</v>
      </c>
      <c r="I41" s="5" t="s">
        <v>29</v>
      </c>
      <c r="J41" s="5" t="s">
        <v>30</v>
      </c>
      <c r="K41" s="5" t="str">
        <f>_xlfn.CONCAT("")</f>
        <v/>
      </c>
      <c r="L41" s="5" t="str">
        <f>_xlfn.CONCAT("11 11.2 4b")</f>
        <v>11 11.2 4b</v>
      </c>
      <c r="M41" s="5" t="str">
        <f>_xlfn.CONCAT("PTNFNC64B42A739I")</f>
        <v>PTNFNC64B42A739I</v>
      </c>
      <c r="N41" s="5" t="s">
        <v>108</v>
      </c>
      <c r="O41" s="5" t="s">
        <v>88</v>
      </c>
      <c r="P41" s="6">
        <v>44176</v>
      </c>
      <c r="Q41" s="5" t="s">
        <v>31</v>
      </c>
      <c r="R41" s="5" t="s">
        <v>32</v>
      </c>
      <c r="S41" s="5" t="s">
        <v>33</v>
      </c>
      <c r="T41" s="5"/>
      <c r="U41" s="7">
        <v>2020.56</v>
      </c>
      <c r="V41" s="5">
        <v>871.27</v>
      </c>
      <c r="W41" s="5">
        <v>804.59</v>
      </c>
      <c r="X41" s="5">
        <v>0</v>
      </c>
      <c r="Y41" s="5">
        <v>344.7</v>
      </c>
    </row>
    <row r="42" spans="1:25" x14ac:dyDescent="0.25">
      <c r="A42" s="5" t="s">
        <v>26</v>
      </c>
      <c r="B42" s="5" t="s">
        <v>44</v>
      </c>
      <c r="C42" s="5" t="s">
        <v>46</v>
      </c>
      <c r="D42" s="5" t="s">
        <v>52</v>
      </c>
      <c r="E42" s="5" t="s">
        <v>38</v>
      </c>
      <c r="F42" s="5" t="s">
        <v>89</v>
      </c>
      <c r="G42" s="5">
        <v>2019</v>
      </c>
      <c r="H42" s="5" t="str">
        <f>_xlfn.CONCAT("94240947948")</f>
        <v>94240947948</v>
      </c>
      <c r="I42" s="5" t="s">
        <v>29</v>
      </c>
      <c r="J42" s="5" t="s">
        <v>30</v>
      </c>
      <c r="K42" s="5" t="str">
        <f>_xlfn.CONCAT("")</f>
        <v/>
      </c>
      <c r="L42" s="5" t="str">
        <f>_xlfn.CONCAT("11 11.2 4b")</f>
        <v>11 11.2 4b</v>
      </c>
      <c r="M42" s="5" t="str">
        <f>_xlfn.CONCAT("PTNFNC64B42A739I")</f>
        <v>PTNFNC64B42A739I</v>
      </c>
      <c r="N42" s="5" t="s">
        <v>108</v>
      </c>
      <c r="O42" s="5" t="s">
        <v>88</v>
      </c>
      <c r="P42" s="6">
        <v>44176</v>
      </c>
      <c r="Q42" s="5" t="s">
        <v>31</v>
      </c>
      <c r="R42" s="5" t="s">
        <v>32</v>
      </c>
      <c r="S42" s="5" t="s">
        <v>33</v>
      </c>
      <c r="T42" s="5"/>
      <c r="U42" s="7">
        <v>1466.34</v>
      </c>
      <c r="V42" s="5">
        <v>632.29</v>
      </c>
      <c r="W42" s="5">
        <v>583.9</v>
      </c>
      <c r="X42" s="5">
        <v>0</v>
      </c>
      <c r="Y42" s="5">
        <v>250.15</v>
      </c>
    </row>
    <row r="43" spans="1:25" x14ac:dyDescent="0.25">
      <c r="A43" s="5" t="s">
        <v>26</v>
      </c>
      <c r="B43" s="5" t="s">
        <v>44</v>
      </c>
      <c r="C43" s="5" t="s">
        <v>46</v>
      </c>
      <c r="D43" s="5" t="s">
        <v>52</v>
      </c>
      <c r="E43" s="5" t="s">
        <v>37</v>
      </c>
      <c r="F43" s="5" t="s">
        <v>53</v>
      </c>
      <c r="G43" s="5">
        <v>2017</v>
      </c>
      <c r="H43" s="5" t="str">
        <f>_xlfn.CONCAT("74240753892")</f>
        <v>74240753892</v>
      </c>
      <c r="I43" s="5" t="s">
        <v>29</v>
      </c>
      <c r="J43" s="5" t="s">
        <v>30</v>
      </c>
      <c r="K43" s="5" t="str">
        <f>_xlfn.CONCAT("")</f>
        <v/>
      </c>
      <c r="L43" s="5" t="str">
        <f>_xlfn.CONCAT("11 11.1 4b")</f>
        <v>11 11.1 4b</v>
      </c>
      <c r="M43" s="5" t="str">
        <f>_xlfn.CONCAT("PYRBNR42D18L219T")</f>
        <v>PYRBNR42D18L219T</v>
      </c>
      <c r="N43" s="5" t="s">
        <v>109</v>
      </c>
      <c r="O43" s="5" t="s">
        <v>88</v>
      </c>
      <c r="P43" s="6">
        <v>44176</v>
      </c>
      <c r="Q43" s="5" t="s">
        <v>31</v>
      </c>
      <c r="R43" s="5" t="s">
        <v>32</v>
      </c>
      <c r="S43" s="5" t="s">
        <v>33</v>
      </c>
      <c r="T43" s="5"/>
      <c r="U43" s="5">
        <v>266.86</v>
      </c>
      <c r="V43" s="5">
        <v>115.07</v>
      </c>
      <c r="W43" s="5">
        <v>106.26</v>
      </c>
      <c r="X43" s="5">
        <v>0</v>
      </c>
      <c r="Y43" s="5">
        <v>45.53</v>
      </c>
    </row>
    <row r="44" spans="1:25" x14ac:dyDescent="0.25">
      <c r="A44" s="5" t="s">
        <v>26</v>
      </c>
      <c r="B44" s="5" t="s">
        <v>44</v>
      </c>
      <c r="C44" s="5" t="s">
        <v>46</v>
      </c>
      <c r="D44" s="5" t="s">
        <v>52</v>
      </c>
      <c r="E44" s="5" t="s">
        <v>37</v>
      </c>
      <c r="F44" s="5" t="s">
        <v>53</v>
      </c>
      <c r="G44" s="5">
        <v>2018</v>
      </c>
      <c r="H44" s="5" t="str">
        <f>_xlfn.CONCAT("84240399885")</f>
        <v>84240399885</v>
      </c>
      <c r="I44" s="5" t="s">
        <v>29</v>
      </c>
      <c r="J44" s="5" t="s">
        <v>30</v>
      </c>
      <c r="K44" s="5" t="str">
        <f>_xlfn.CONCAT("")</f>
        <v/>
      </c>
      <c r="L44" s="5" t="str">
        <f>_xlfn.CONCAT("11 11.1 4b")</f>
        <v>11 11.1 4b</v>
      </c>
      <c r="M44" s="5" t="str">
        <f>_xlfn.CONCAT("PYRBNR42D18L219T")</f>
        <v>PYRBNR42D18L219T</v>
      </c>
      <c r="N44" s="5" t="s">
        <v>109</v>
      </c>
      <c r="O44" s="5" t="s">
        <v>88</v>
      </c>
      <c r="P44" s="6">
        <v>44176</v>
      </c>
      <c r="Q44" s="5" t="s">
        <v>31</v>
      </c>
      <c r="R44" s="5" t="s">
        <v>32</v>
      </c>
      <c r="S44" s="5" t="s">
        <v>33</v>
      </c>
      <c r="T44" s="5"/>
      <c r="U44" s="7">
        <v>1021.17</v>
      </c>
      <c r="V44" s="5">
        <v>440.33</v>
      </c>
      <c r="W44" s="5">
        <v>406.63</v>
      </c>
      <c r="X44" s="5">
        <v>0</v>
      </c>
      <c r="Y44" s="5">
        <v>174.21</v>
      </c>
    </row>
    <row r="45" spans="1:25" x14ac:dyDescent="0.25">
      <c r="A45" s="5" t="s">
        <v>26</v>
      </c>
      <c r="B45" s="5" t="s">
        <v>44</v>
      </c>
      <c r="C45" s="5" t="s">
        <v>46</v>
      </c>
      <c r="D45" s="5" t="s">
        <v>52</v>
      </c>
      <c r="E45" s="5" t="s">
        <v>37</v>
      </c>
      <c r="F45" s="5" t="s">
        <v>66</v>
      </c>
      <c r="G45" s="5">
        <v>2019</v>
      </c>
      <c r="H45" s="5" t="str">
        <f>_xlfn.CONCAT("94240618036")</f>
        <v>94240618036</v>
      </c>
      <c r="I45" s="5" t="s">
        <v>29</v>
      </c>
      <c r="J45" s="5" t="s">
        <v>30</v>
      </c>
      <c r="K45" s="5" t="str">
        <f>_xlfn.CONCAT("")</f>
        <v/>
      </c>
      <c r="L45" s="5" t="str">
        <f>_xlfn.CONCAT("11 11.2 4b")</f>
        <v>11 11.2 4b</v>
      </c>
      <c r="M45" s="5" t="str">
        <f>_xlfn.CONCAT("01344860430")</f>
        <v>01344860430</v>
      </c>
      <c r="N45" s="5" t="s">
        <v>110</v>
      </c>
      <c r="O45" s="5" t="s">
        <v>88</v>
      </c>
      <c r="P45" s="6">
        <v>44176</v>
      </c>
      <c r="Q45" s="5" t="s">
        <v>31</v>
      </c>
      <c r="R45" s="5" t="s">
        <v>32</v>
      </c>
      <c r="S45" s="5" t="s">
        <v>33</v>
      </c>
      <c r="T45" s="5"/>
      <c r="U45" s="7">
        <v>1520.41</v>
      </c>
      <c r="V45" s="5">
        <v>655.6</v>
      </c>
      <c r="W45" s="5">
        <v>605.42999999999995</v>
      </c>
      <c r="X45" s="5">
        <v>0</v>
      </c>
      <c r="Y45" s="5">
        <v>259.38</v>
      </c>
    </row>
    <row r="46" spans="1:25" ht="24.75" x14ac:dyDescent="0.25">
      <c r="A46" s="5" t="s">
        <v>26</v>
      </c>
      <c r="B46" s="5" t="s">
        <v>44</v>
      </c>
      <c r="C46" s="5" t="s">
        <v>46</v>
      </c>
      <c r="D46" s="5" t="s">
        <v>93</v>
      </c>
      <c r="E46" s="5" t="s">
        <v>37</v>
      </c>
      <c r="F46" s="5" t="s">
        <v>111</v>
      </c>
      <c r="G46" s="5">
        <v>2019</v>
      </c>
      <c r="H46" s="5" t="str">
        <f>_xlfn.CONCAT("94241730566")</f>
        <v>94241730566</v>
      </c>
      <c r="I46" s="5" t="s">
        <v>29</v>
      </c>
      <c r="J46" s="5" t="s">
        <v>30</v>
      </c>
      <c r="K46" s="5" t="str">
        <f>_xlfn.CONCAT("")</f>
        <v/>
      </c>
      <c r="L46" s="5" t="str">
        <f>_xlfn.CONCAT("11 11.2 4b")</f>
        <v>11 11.2 4b</v>
      </c>
      <c r="M46" s="5" t="str">
        <f>_xlfn.CONCAT("PLFGNN82C19A462E")</f>
        <v>PLFGNN82C19A462E</v>
      </c>
      <c r="N46" s="5" t="s">
        <v>112</v>
      </c>
      <c r="O46" s="5" t="s">
        <v>88</v>
      </c>
      <c r="P46" s="6">
        <v>44176</v>
      </c>
      <c r="Q46" s="5" t="s">
        <v>31</v>
      </c>
      <c r="R46" s="5" t="s">
        <v>32</v>
      </c>
      <c r="S46" s="5" t="s">
        <v>33</v>
      </c>
      <c r="T46" s="5"/>
      <c r="U46" s="7">
        <v>4769.18</v>
      </c>
      <c r="V46" s="7">
        <v>2056.4699999999998</v>
      </c>
      <c r="W46" s="7">
        <v>1899.09</v>
      </c>
      <c r="X46" s="5">
        <v>0</v>
      </c>
      <c r="Y46" s="5">
        <v>813.62</v>
      </c>
    </row>
    <row r="47" spans="1:25" x14ac:dyDescent="0.25">
      <c r="A47" s="5" t="s">
        <v>26</v>
      </c>
      <c r="B47" s="5" t="s">
        <v>44</v>
      </c>
      <c r="C47" s="5" t="s">
        <v>46</v>
      </c>
      <c r="D47" s="5" t="s">
        <v>52</v>
      </c>
      <c r="E47" s="5" t="s">
        <v>38</v>
      </c>
      <c r="F47" s="5" t="s">
        <v>89</v>
      </c>
      <c r="G47" s="5">
        <v>2019</v>
      </c>
      <c r="H47" s="5" t="str">
        <f>_xlfn.CONCAT("94241047185")</f>
        <v>94241047185</v>
      </c>
      <c r="I47" s="5" t="s">
        <v>29</v>
      </c>
      <c r="J47" s="5" t="s">
        <v>30</v>
      </c>
      <c r="K47" s="5" t="str">
        <f>_xlfn.CONCAT("")</f>
        <v/>
      </c>
      <c r="L47" s="5" t="str">
        <f>_xlfn.CONCAT("11 11.2 4b")</f>
        <v>11 11.2 4b</v>
      </c>
      <c r="M47" s="5" t="str">
        <f>_xlfn.CONCAT("BRNPDM96L02E783N")</f>
        <v>BRNPDM96L02E783N</v>
      </c>
      <c r="N47" s="5" t="s">
        <v>113</v>
      </c>
      <c r="O47" s="5" t="s">
        <v>88</v>
      </c>
      <c r="P47" s="6">
        <v>44176</v>
      </c>
      <c r="Q47" s="5" t="s">
        <v>31</v>
      </c>
      <c r="R47" s="5" t="s">
        <v>32</v>
      </c>
      <c r="S47" s="5" t="s">
        <v>33</v>
      </c>
      <c r="T47" s="5"/>
      <c r="U47" s="7">
        <v>2279.0500000000002</v>
      </c>
      <c r="V47" s="5">
        <v>982.73</v>
      </c>
      <c r="W47" s="5">
        <v>907.52</v>
      </c>
      <c r="X47" s="5">
        <v>0</v>
      </c>
      <c r="Y47" s="5">
        <v>388.8</v>
      </c>
    </row>
    <row r="48" spans="1:25" ht="24.75" x14ac:dyDescent="0.25">
      <c r="A48" s="5" t="s">
        <v>26</v>
      </c>
      <c r="B48" s="5" t="s">
        <v>44</v>
      </c>
      <c r="C48" s="5" t="s">
        <v>46</v>
      </c>
      <c r="D48" s="5" t="s">
        <v>52</v>
      </c>
      <c r="E48" s="5" t="s">
        <v>28</v>
      </c>
      <c r="F48" s="5" t="s">
        <v>114</v>
      </c>
      <c r="G48" s="5">
        <v>2018</v>
      </c>
      <c r="H48" s="5" t="str">
        <f>_xlfn.CONCAT("84240707020")</f>
        <v>84240707020</v>
      </c>
      <c r="I48" s="5" t="s">
        <v>29</v>
      </c>
      <c r="J48" s="5" t="s">
        <v>30</v>
      </c>
      <c r="K48" s="5" t="str">
        <f>_xlfn.CONCAT("")</f>
        <v/>
      </c>
      <c r="L48" s="5" t="str">
        <f>_xlfn.CONCAT("11 11.2 4b")</f>
        <v>11 11.2 4b</v>
      </c>
      <c r="M48" s="5" t="str">
        <f>_xlfn.CONCAT("01912920434")</f>
        <v>01912920434</v>
      </c>
      <c r="N48" s="5" t="s">
        <v>115</v>
      </c>
      <c r="O48" s="5" t="s">
        <v>88</v>
      </c>
      <c r="P48" s="6">
        <v>44176</v>
      </c>
      <c r="Q48" s="5" t="s">
        <v>31</v>
      </c>
      <c r="R48" s="5" t="s">
        <v>32</v>
      </c>
      <c r="S48" s="5" t="s">
        <v>33</v>
      </c>
      <c r="T48" s="5"/>
      <c r="U48" s="5">
        <v>592.66999999999996</v>
      </c>
      <c r="V48" s="5">
        <v>255.56</v>
      </c>
      <c r="W48" s="5">
        <v>236</v>
      </c>
      <c r="X48" s="5">
        <v>0</v>
      </c>
      <c r="Y48" s="5">
        <v>101.11</v>
      </c>
    </row>
    <row r="49" spans="1:25" x14ac:dyDescent="0.25">
      <c r="A49" s="5" t="s">
        <v>26</v>
      </c>
      <c r="B49" s="5" t="s">
        <v>44</v>
      </c>
      <c r="C49" s="5" t="s">
        <v>46</v>
      </c>
      <c r="D49" s="5" t="s">
        <v>52</v>
      </c>
      <c r="E49" s="5" t="s">
        <v>38</v>
      </c>
      <c r="F49" s="5" t="s">
        <v>116</v>
      </c>
      <c r="G49" s="5">
        <v>2018</v>
      </c>
      <c r="H49" s="5" t="str">
        <f>_xlfn.CONCAT("84240505945")</f>
        <v>84240505945</v>
      </c>
      <c r="I49" s="5" t="s">
        <v>29</v>
      </c>
      <c r="J49" s="5" t="s">
        <v>30</v>
      </c>
      <c r="K49" s="5" t="str">
        <f>_xlfn.CONCAT("")</f>
        <v/>
      </c>
      <c r="L49" s="5" t="str">
        <f>_xlfn.CONCAT("11 11.2 4b")</f>
        <v>11 11.2 4b</v>
      </c>
      <c r="M49" s="5" t="str">
        <f>_xlfn.CONCAT("SLVNNA64A48A739U")</f>
        <v>SLVNNA64A48A739U</v>
      </c>
      <c r="N49" s="5" t="s">
        <v>117</v>
      </c>
      <c r="O49" s="5" t="s">
        <v>88</v>
      </c>
      <c r="P49" s="6">
        <v>44176</v>
      </c>
      <c r="Q49" s="5" t="s">
        <v>31</v>
      </c>
      <c r="R49" s="5" t="s">
        <v>32</v>
      </c>
      <c r="S49" s="5" t="s">
        <v>33</v>
      </c>
      <c r="T49" s="5"/>
      <c r="U49" s="5">
        <v>246.88</v>
      </c>
      <c r="V49" s="5">
        <v>106.45</v>
      </c>
      <c r="W49" s="5">
        <v>98.31</v>
      </c>
      <c r="X49" s="5">
        <v>0</v>
      </c>
      <c r="Y49" s="5">
        <v>42.12</v>
      </c>
    </row>
    <row r="50" spans="1:25" x14ac:dyDescent="0.25">
      <c r="A50" s="5" t="s">
        <v>26</v>
      </c>
      <c r="B50" s="5" t="s">
        <v>44</v>
      </c>
      <c r="C50" s="5" t="s">
        <v>46</v>
      </c>
      <c r="D50" s="5" t="s">
        <v>52</v>
      </c>
      <c r="E50" s="5" t="s">
        <v>37</v>
      </c>
      <c r="F50" s="5" t="s">
        <v>53</v>
      </c>
      <c r="G50" s="5">
        <v>2019</v>
      </c>
      <c r="H50" s="5" t="str">
        <f>_xlfn.CONCAT("94240715311")</f>
        <v>94240715311</v>
      </c>
      <c r="I50" s="5" t="s">
        <v>29</v>
      </c>
      <c r="J50" s="5" t="s">
        <v>30</v>
      </c>
      <c r="K50" s="5" t="str">
        <f>_xlfn.CONCAT("")</f>
        <v/>
      </c>
      <c r="L50" s="5" t="str">
        <f>_xlfn.CONCAT("11 11.2 4b")</f>
        <v>11 11.2 4b</v>
      </c>
      <c r="M50" s="5" t="str">
        <f>_xlfn.CONCAT("SLVMNL92S18I156D")</f>
        <v>SLVMNL92S18I156D</v>
      </c>
      <c r="N50" s="5" t="s">
        <v>118</v>
      </c>
      <c r="O50" s="5" t="s">
        <v>88</v>
      </c>
      <c r="P50" s="6">
        <v>44176</v>
      </c>
      <c r="Q50" s="5" t="s">
        <v>31</v>
      </c>
      <c r="R50" s="5" t="s">
        <v>32</v>
      </c>
      <c r="S50" s="5" t="s">
        <v>33</v>
      </c>
      <c r="T50" s="5"/>
      <c r="U50" s="5">
        <v>81.97</v>
      </c>
      <c r="V50" s="5">
        <v>35.35</v>
      </c>
      <c r="W50" s="5">
        <v>32.64</v>
      </c>
      <c r="X50" s="5">
        <v>0</v>
      </c>
      <c r="Y50" s="5">
        <v>13.98</v>
      </c>
    </row>
    <row r="51" spans="1:25" x14ac:dyDescent="0.25">
      <c r="A51" s="5" t="s">
        <v>26</v>
      </c>
      <c r="B51" s="5" t="s">
        <v>44</v>
      </c>
      <c r="C51" s="5" t="s">
        <v>46</v>
      </c>
      <c r="D51" s="5" t="s">
        <v>52</v>
      </c>
      <c r="E51" s="5" t="s">
        <v>38</v>
      </c>
      <c r="F51" s="5" t="s">
        <v>89</v>
      </c>
      <c r="G51" s="5">
        <v>2019</v>
      </c>
      <c r="H51" s="5" t="str">
        <f>_xlfn.CONCAT("94240940034")</f>
        <v>94240940034</v>
      </c>
      <c r="I51" s="5" t="s">
        <v>29</v>
      </c>
      <c r="J51" s="5" t="s">
        <v>30</v>
      </c>
      <c r="K51" s="5" t="str">
        <f>_xlfn.CONCAT("")</f>
        <v/>
      </c>
      <c r="L51" s="5" t="str">
        <f>_xlfn.CONCAT("11 11.2 4b")</f>
        <v>11 11.2 4b</v>
      </c>
      <c r="M51" s="5" t="str">
        <f>_xlfn.CONCAT("RMLMRA85M06L191R")</f>
        <v>RMLMRA85M06L191R</v>
      </c>
      <c r="N51" s="5" t="s">
        <v>119</v>
      </c>
      <c r="O51" s="5" t="s">
        <v>88</v>
      </c>
      <c r="P51" s="6">
        <v>44176</v>
      </c>
      <c r="Q51" s="5" t="s">
        <v>31</v>
      </c>
      <c r="R51" s="5" t="s">
        <v>32</v>
      </c>
      <c r="S51" s="5" t="s">
        <v>33</v>
      </c>
      <c r="T51" s="5"/>
      <c r="U51" s="5">
        <v>34.74</v>
      </c>
      <c r="V51" s="5">
        <v>14.98</v>
      </c>
      <c r="W51" s="5">
        <v>13.83</v>
      </c>
      <c r="X51" s="5">
        <v>0</v>
      </c>
      <c r="Y51" s="5">
        <v>5.93</v>
      </c>
    </row>
    <row r="52" spans="1:25" ht="24.75" x14ac:dyDescent="0.25">
      <c r="A52" s="5" t="s">
        <v>26</v>
      </c>
      <c r="B52" s="5" t="s">
        <v>27</v>
      </c>
      <c r="C52" s="5" t="s">
        <v>46</v>
      </c>
      <c r="D52" s="5" t="s">
        <v>56</v>
      </c>
      <c r="E52" s="5" t="s">
        <v>37</v>
      </c>
      <c r="F52" s="5" t="s">
        <v>57</v>
      </c>
      <c r="G52" s="5">
        <v>2017</v>
      </c>
      <c r="H52" s="5" t="str">
        <f>_xlfn.CONCAT("04270184874")</f>
        <v>04270184874</v>
      </c>
      <c r="I52" s="5" t="s">
        <v>29</v>
      </c>
      <c r="J52" s="5" t="s">
        <v>30</v>
      </c>
      <c r="K52" s="5" t="str">
        <f>_xlfn.CONCAT("")</f>
        <v/>
      </c>
      <c r="L52" s="5" t="str">
        <f>_xlfn.CONCAT("4 4.1 2a")</f>
        <v>4 4.1 2a</v>
      </c>
      <c r="M52" s="5" t="str">
        <f>_xlfn.CONCAT("TGNDNL89B27B352J")</f>
        <v>TGNDNL89B27B352J</v>
      </c>
      <c r="N52" s="5" t="s">
        <v>120</v>
      </c>
      <c r="O52" s="5" t="s">
        <v>121</v>
      </c>
      <c r="P52" s="6">
        <v>44176</v>
      </c>
      <c r="Q52" s="5" t="s">
        <v>31</v>
      </c>
      <c r="R52" s="5" t="s">
        <v>32</v>
      </c>
      <c r="S52" s="5" t="s">
        <v>33</v>
      </c>
      <c r="T52" s="5"/>
      <c r="U52" s="7">
        <v>23769.62</v>
      </c>
      <c r="V52" s="7">
        <v>10249.459999999999</v>
      </c>
      <c r="W52" s="7">
        <v>9465.06</v>
      </c>
      <c r="X52" s="5">
        <v>0</v>
      </c>
      <c r="Y52" s="7">
        <v>4055.1</v>
      </c>
    </row>
    <row r="53" spans="1:25" ht="24.75" x14ac:dyDescent="0.25">
      <c r="A53" s="5" t="s">
        <v>26</v>
      </c>
      <c r="B53" s="5" t="s">
        <v>44</v>
      </c>
      <c r="C53" s="5" t="s">
        <v>46</v>
      </c>
      <c r="D53" s="5" t="s">
        <v>93</v>
      </c>
      <c r="E53" s="5" t="s">
        <v>36</v>
      </c>
      <c r="F53" s="5" t="s">
        <v>122</v>
      </c>
      <c r="G53" s="5">
        <v>2019</v>
      </c>
      <c r="H53" s="5" t="str">
        <f>_xlfn.CONCAT("94241155483")</f>
        <v>94241155483</v>
      </c>
      <c r="I53" s="5" t="s">
        <v>29</v>
      </c>
      <c r="J53" s="5" t="s">
        <v>30</v>
      </c>
      <c r="K53" s="5" t="str">
        <f>_xlfn.CONCAT("")</f>
        <v/>
      </c>
      <c r="L53" s="5" t="str">
        <f>_xlfn.CONCAT("10 10.1 4a")</f>
        <v>10 10.1 4a</v>
      </c>
      <c r="M53" s="5" t="str">
        <f>_xlfn.CONCAT("CRUMRZ74E14G516C")</f>
        <v>CRUMRZ74E14G516C</v>
      </c>
      <c r="N53" s="5" t="s">
        <v>123</v>
      </c>
      <c r="O53" s="5" t="s">
        <v>124</v>
      </c>
      <c r="P53" s="6">
        <v>44176</v>
      </c>
      <c r="Q53" s="5" t="s">
        <v>31</v>
      </c>
      <c r="R53" s="5" t="s">
        <v>32</v>
      </c>
      <c r="S53" s="5" t="s">
        <v>33</v>
      </c>
      <c r="T53" s="5"/>
      <c r="U53" s="5">
        <v>671.08</v>
      </c>
      <c r="V53" s="5">
        <v>289.37</v>
      </c>
      <c r="W53" s="5">
        <v>267.22000000000003</v>
      </c>
      <c r="X53" s="5">
        <v>0</v>
      </c>
      <c r="Y53" s="5">
        <v>114.49</v>
      </c>
    </row>
    <row r="54" spans="1:25" ht="24.75" x14ac:dyDescent="0.25">
      <c r="A54" s="5" t="s">
        <v>26</v>
      </c>
      <c r="B54" s="5" t="s">
        <v>44</v>
      </c>
      <c r="C54" s="5" t="s">
        <v>46</v>
      </c>
      <c r="D54" s="5" t="s">
        <v>93</v>
      </c>
      <c r="E54" s="5" t="s">
        <v>36</v>
      </c>
      <c r="F54" s="5" t="s">
        <v>122</v>
      </c>
      <c r="G54" s="5">
        <v>2019</v>
      </c>
      <c r="H54" s="5" t="str">
        <f>_xlfn.CONCAT("94240219124")</f>
        <v>94240219124</v>
      </c>
      <c r="I54" s="5" t="s">
        <v>29</v>
      </c>
      <c r="J54" s="5" t="s">
        <v>30</v>
      </c>
      <c r="K54" s="5" t="str">
        <f>_xlfn.CONCAT("")</f>
        <v/>
      </c>
      <c r="L54" s="5" t="str">
        <f>_xlfn.CONCAT("10 10.1 4a")</f>
        <v>10 10.1 4a</v>
      </c>
      <c r="M54" s="5" t="str">
        <f>_xlfn.CONCAT("LRNMRZ79P03A462M")</f>
        <v>LRNMRZ79P03A462M</v>
      </c>
      <c r="N54" s="5" t="s">
        <v>125</v>
      </c>
      <c r="O54" s="5" t="s">
        <v>124</v>
      </c>
      <c r="P54" s="6">
        <v>44176</v>
      </c>
      <c r="Q54" s="5" t="s">
        <v>31</v>
      </c>
      <c r="R54" s="5" t="s">
        <v>32</v>
      </c>
      <c r="S54" s="5" t="s">
        <v>33</v>
      </c>
      <c r="T54" s="5"/>
      <c r="U54" s="5">
        <v>480.45</v>
      </c>
      <c r="V54" s="5">
        <v>207.17</v>
      </c>
      <c r="W54" s="5">
        <v>191.32</v>
      </c>
      <c r="X54" s="5">
        <v>0</v>
      </c>
      <c r="Y54" s="5">
        <v>81.96</v>
      </c>
    </row>
    <row r="55" spans="1:25" ht="24.75" x14ac:dyDescent="0.25">
      <c r="A55" s="5" t="s">
        <v>26</v>
      </c>
      <c r="B55" s="5" t="s">
        <v>27</v>
      </c>
      <c r="C55" s="5" t="s">
        <v>46</v>
      </c>
      <c r="D55" s="5" t="s">
        <v>56</v>
      </c>
      <c r="E55" s="5" t="s">
        <v>37</v>
      </c>
      <c r="F55" s="5" t="s">
        <v>57</v>
      </c>
      <c r="G55" s="5">
        <v>2017</v>
      </c>
      <c r="H55" s="5" t="str">
        <f>_xlfn.CONCAT("04270184866")</f>
        <v>04270184866</v>
      </c>
      <c r="I55" s="5" t="s">
        <v>29</v>
      </c>
      <c r="J55" s="5" t="s">
        <v>30</v>
      </c>
      <c r="K55" s="5" t="str">
        <f>_xlfn.CONCAT("")</f>
        <v/>
      </c>
      <c r="L55" s="5" t="str">
        <f>_xlfn.CONCAT("6 6.1 2b")</f>
        <v>6 6.1 2b</v>
      </c>
      <c r="M55" s="5" t="str">
        <f>_xlfn.CONCAT("TGNDNL89B27B352J")</f>
        <v>TGNDNL89B27B352J</v>
      </c>
      <c r="N55" s="5" t="s">
        <v>120</v>
      </c>
      <c r="O55" s="5" t="s">
        <v>126</v>
      </c>
      <c r="P55" s="6">
        <v>44176</v>
      </c>
      <c r="Q55" s="5" t="s">
        <v>31</v>
      </c>
      <c r="R55" s="5" t="s">
        <v>32</v>
      </c>
      <c r="S55" s="5" t="s">
        <v>33</v>
      </c>
      <c r="T55" s="5"/>
      <c r="U55" s="7">
        <v>15000</v>
      </c>
      <c r="V55" s="7">
        <v>6468</v>
      </c>
      <c r="W55" s="7">
        <v>5973</v>
      </c>
      <c r="X55" s="5">
        <v>0</v>
      </c>
      <c r="Y55" s="7">
        <v>2559</v>
      </c>
    </row>
    <row r="56" spans="1:25" ht="24.75" x14ac:dyDescent="0.25">
      <c r="A56" s="5" t="s">
        <v>26</v>
      </c>
      <c r="B56" s="5" t="s">
        <v>27</v>
      </c>
      <c r="C56" s="5" t="s">
        <v>46</v>
      </c>
      <c r="D56" s="5" t="s">
        <v>93</v>
      </c>
      <c r="E56" s="5" t="s">
        <v>34</v>
      </c>
      <c r="F56" s="5" t="s">
        <v>34</v>
      </c>
      <c r="G56" s="5">
        <v>2017</v>
      </c>
      <c r="H56" s="5" t="str">
        <f>_xlfn.CONCAT("04270184890")</f>
        <v>04270184890</v>
      </c>
      <c r="I56" s="5" t="s">
        <v>29</v>
      </c>
      <c r="J56" s="5" t="s">
        <v>30</v>
      </c>
      <c r="K56" s="5" t="str">
        <f>_xlfn.CONCAT("")</f>
        <v/>
      </c>
      <c r="L56" s="5" t="str">
        <f>_xlfn.CONCAT("6 6.1 2b")</f>
        <v>6 6.1 2b</v>
      </c>
      <c r="M56" s="5" t="str">
        <f>_xlfn.CONCAT("GLNLSN91H27A462E")</f>
        <v>GLNLSN91H27A462E</v>
      </c>
      <c r="N56" s="5" t="s">
        <v>127</v>
      </c>
      <c r="O56" s="5" t="s">
        <v>128</v>
      </c>
      <c r="P56" s="6">
        <v>44176</v>
      </c>
      <c r="Q56" s="5" t="s">
        <v>31</v>
      </c>
      <c r="R56" s="5" t="s">
        <v>39</v>
      </c>
      <c r="S56" s="5" t="s">
        <v>33</v>
      </c>
      <c r="T56" s="5"/>
      <c r="U56" s="7">
        <v>42000</v>
      </c>
      <c r="V56" s="7">
        <v>18110.400000000001</v>
      </c>
      <c r="W56" s="7">
        <v>16724.400000000001</v>
      </c>
      <c r="X56" s="5">
        <v>0</v>
      </c>
      <c r="Y56" s="7">
        <v>7165.2</v>
      </c>
    </row>
    <row r="57" spans="1:25" x14ac:dyDescent="0.25">
      <c r="A57" s="5" t="s">
        <v>26</v>
      </c>
      <c r="B57" s="5" t="s">
        <v>27</v>
      </c>
      <c r="C57" s="5" t="s">
        <v>46</v>
      </c>
      <c r="D57" s="5" t="s">
        <v>52</v>
      </c>
      <c r="E57" s="5" t="s">
        <v>37</v>
      </c>
      <c r="F57" s="5" t="s">
        <v>129</v>
      </c>
      <c r="G57" s="5">
        <v>2017</v>
      </c>
      <c r="H57" s="5" t="str">
        <f>_xlfn.CONCAT("04270184916")</f>
        <v>04270184916</v>
      </c>
      <c r="I57" s="5" t="s">
        <v>29</v>
      </c>
      <c r="J57" s="5" t="s">
        <v>30</v>
      </c>
      <c r="K57" s="5" t="str">
        <f>_xlfn.CONCAT("")</f>
        <v/>
      </c>
      <c r="L57" s="5" t="str">
        <f>_xlfn.CONCAT("6 6.1 2b")</f>
        <v>6 6.1 2b</v>
      </c>
      <c r="M57" s="5" t="str">
        <f>_xlfn.CONCAT("LNFLDN92E69E783A")</f>
        <v>LNFLDN92E69E783A</v>
      </c>
      <c r="N57" s="5" t="s">
        <v>130</v>
      </c>
      <c r="O57" s="5" t="s">
        <v>128</v>
      </c>
      <c r="P57" s="6">
        <v>44176</v>
      </c>
      <c r="Q57" s="5" t="s">
        <v>31</v>
      </c>
      <c r="R57" s="5" t="s">
        <v>39</v>
      </c>
      <c r="S57" s="5" t="s">
        <v>33</v>
      </c>
      <c r="T57" s="5"/>
      <c r="U57" s="7">
        <v>28000</v>
      </c>
      <c r="V57" s="7">
        <v>12073.6</v>
      </c>
      <c r="W57" s="7">
        <v>11149.6</v>
      </c>
      <c r="X57" s="5">
        <v>0</v>
      </c>
      <c r="Y57" s="7">
        <v>4776.8</v>
      </c>
    </row>
    <row r="58" spans="1:25" ht="24.75" x14ac:dyDescent="0.25">
      <c r="A58" s="5" t="s">
        <v>26</v>
      </c>
      <c r="B58" s="5" t="s">
        <v>27</v>
      </c>
      <c r="C58" s="5" t="s">
        <v>46</v>
      </c>
      <c r="D58" s="5" t="s">
        <v>93</v>
      </c>
      <c r="E58" s="5" t="s">
        <v>34</v>
      </c>
      <c r="F58" s="5" t="s">
        <v>34</v>
      </c>
      <c r="G58" s="5">
        <v>2017</v>
      </c>
      <c r="H58" s="5" t="str">
        <f>_xlfn.CONCAT("04270184924")</f>
        <v>04270184924</v>
      </c>
      <c r="I58" s="5" t="s">
        <v>29</v>
      </c>
      <c r="J58" s="5" t="s">
        <v>30</v>
      </c>
      <c r="K58" s="5" t="str">
        <f>_xlfn.CONCAT("")</f>
        <v/>
      </c>
      <c r="L58" s="5" t="str">
        <f>_xlfn.CONCAT("4 4.1 2a")</f>
        <v>4 4.1 2a</v>
      </c>
      <c r="M58" s="5" t="str">
        <f>_xlfn.CONCAT("GLNLSN91H27A462E")</f>
        <v>GLNLSN91H27A462E</v>
      </c>
      <c r="N58" s="5" t="s">
        <v>127</v>
      </c>
      <c r="O58" s="5" t="s">
        <v>131</v>
      </c>
      <c r="P58" s="6">
        <v>44176</v>
      </c>
      <c r="Q58" s="5" t="s">
        <v>31</v>
      </c>
      <c r="R58" s="5" t="s">
        <v>42</v>
      </c>
      <c r="S58" s="5" t="s">
        <v>33</v>
      </c>
      <c r="T58" s="5"/>
      <c r="U58" s="7">
        <v>122498.85</v>
      </c>
      <c r="V58" s="7">
        <v>52821.5</v>
      </c>
      <c r="W58" s="7">
        <v>48779.040000000001</v>
      </c>
      <c r="X58" s="5">
        <v>0</v>
      </c>
      <c r="Y58" s="7">
        <v>20898.310000000001</v>
      </c>
    </row>
    <row r="59" spans="1:25" ht="24.75" x14ac:dyDescent="0.25">
      <c r="A59" s="5" t="s">
        <v>26</v>
      </c>
      <c r="B59" s="5" t="s">
        <v>44</v>
      </c>
      <c r="C59" s="5" t="s">
        <v>46</v>
      </c>
      <c r="D59" s="5" t="s">
        <v>93</v>
      </c>
      <c r="E59" s="5" t="s">
        <v>36</v>
      </c>
      <c r="F59" s="5" t="s">
        <v>94</v>
      </c>
      <c r="G59" s="5">
        <v>2019</v>
      </c>
      <c r="H59" s="5" t="str">
        <f>_xlfn.CONCAT("94241060279")</f>
        <v>94241060279</v>
      </c>
      <c r="I59" s="5" t="s">
        <v>29</v>
      </c>
      <c r="J59" s="5" t="s">
        <v>30</v>
      </c>
      <c r="K59" s="5" t="str">
        <f>_xlfn.CONCAT("")</f>
        <v/>
      </c>
      <c r="L59" s="5" t="str">
        <f>_xlfn.CONCAT("10 10.1 4a")</f>
        <v>10 10.1 4a</v>
      </c>
      <c r="M59" s="5" t="str">
        <f>_xlfn.CONCAT("STNRMN78L01A462S")</f>
        <v>STNRMN78L01A462S</v>
      </c>
      <c r="N59" s="5" t="s">
        <v>132</v>
      </c>
      <c r="O59" s="5" t="s">
        <v>124</v>
      </c>
      <c r="P59" s="6">
        <v>44176</v>
      </c>
      <c r="Q59" s="5" t="s">
        <v>31</v>
      </c>
      <c r="R59" s="5" t="s">
        <v>32</v>
      </c>
      <c r="S59" s="5" t="s">
        <v>33</v>
      </c>
      <c r="T59" s="5"/>
      <c r="U59" s="7">
        <v>9720</v>
      </c>
      <c r="V59" s="7">
        <v>4191.26</v>
      </c>
      <c r="W59" s="7">
        <v>3870.5</v>
      </c>
      <c r="X59" s="5">
        <v>0</v>
      </c>
      <c r="Y59" s="7">
        <v>1658.24</v>
      </c>
    </row>
    <row r="60" spans="1:25" x14ac:dyDescent="0.25">
      <c r="A60" s="5" t="s">
        <v>26</v>
      </c>
      <c r="B60" s="5" t="s">
        <v>27</v>
      </c>
      <c r="C60" s="5" t="s">
        <v>46</v>
      </c>
      <c r="D60" s="5" t="s">
        <v>52</v>
      </c>
      <c r="E60" s="5" t="s">
        <v>37</v>
      </c>
      <c r="F60" s="5" t="s">
        <v>129</v>
      </c>
      <c r="G60" s="5">
        <v>2017</v>
      </c>
      <c r="H60" s="5" t="str">
        <f>_xlfn.CONCAT("04270184908")</f>
        <v>04270184908</v>
      </c>
      <c r="I60" s="5" t="s">
        <v>29</v>
      </c>
      <c r="J60" s="5" t="s">
        <v>30</v>
      </c>
      <c r="K60" s="5" t="str">
        <f>_xlfn.CONCAT("")</f>
        <v/>
      </c>
      <c r="L60" s="5" t="str">
        <f>_xlfn.CONCAT("6 6.1 2b")</f>
        <v>6 6.1 2b</v>
      </c>
      <c r="M60" s="5" t="str">
        <f>_xlfn.CONCAT("STRLSN82H53E783F")</f>
        <v>STRLSN82H53E783F</v>
      </c>
      <c r="N60" s="5" t="s">
        <v>133</v>
      </c>
      <c r="O60" s="5" t="s">
        <v>128</v>
      </c>
      <c r="P60" s="6">
        <v>44176</v>
      </c>
      <c r="Q60" s="5" t="s">
        <v>31</v>
      </c>
      <c r="R60" s="5" t="s">
        <v>39</v>
      </c>
      <c r="S60" s="5" t="s">
        <v>33</v>
      </c>
      <c r="T60" s="5"/>
      <c r="U60" s="7">
        <v>28000</v>
      </c>
      <c r="V60" s="7">
        <v>12073.6</v>
      </c>
      <c r="W60" s="7">
        <v>11149.6</v>
      </c>
      <c r="X60" s="5">
        <v>0</v>
      </c>
      <c r="Y60" s="7">
        <v>4776.8</v>
      </c>
    </row>
    <row r="61" spans="1:25" ht="24.75" x14ac:dyDescent="0.25">
      <c r="A61" s="5" t="s">
        <v>26</v>
      </c>
      <c r="B61" s="5" t="s">
        <v>44</v>
      </c>
      <c r="C61" s="5" t="s">
        <v>46</v>
      </c>
      <c r="D61" s="5" t="s">
        <v>56</v>
      </c>
      <c r="E61" s="5" t="s">
        <v>36</v>
      </c>
      <c r="F61" s="5" t="s">
        <v>134</v>
      </c>
      <c r="G61" s="5">
        <v>2019</v>
      </c>
      <c r="H61" s="5" t="str">
        <f>_xlfn.CONCAT("94211406197")</f>
        <v>94211406197</v>
      </c>
      <c r="I61" s="5" t="s">
        <v>29</v>
      </c>
      <c r="J61" s="5" t="s">
        <v>30</v>
      </c>
      <c r="K61" s="5" t="str">
        <f>_xlfn.CONCAT("")</f>
        <v/>
      </c>
      <c r="L61" s="5" t="str">
        <f>_xlfn.CONCAT("13 13.1 4a")</f>
        <v>13 13.1 4a</v>
      </c>
      <c r="M61" s="5" t="str">
        <f>_xlfn.CONCAT("BRNRNO50E48H886A")</f>
        <v>BRNRNO50E48H886A</v>
      </c>
      <c r="N61" s="5" t="s">
        <v>135</v>
      </c>
      <c r="O61" s="5" t="s">
        <v>136</v>
      </c>
      <c r="P61" s="6">
        <v>44176</v>
      </c>
      <c r="Q61" s="5" t="s">
        <v>31</v>
      </c>
      <c r="R61" s="5" t="s">
        <v>32</v>
      </c>
      <c r="S61" s="5" t="s">
        <v>33</v>
      </c>
      <c r="T61" s="5"/>
      <c r="U61" s="7">
        <v>1461.78</v>
      </c>
      <c r="V61" s="5">
        <v>630.32000000000005</v>
      </c>
      <c r="W61" s="5">
        <v>582.08000000000004</v>
      </c>
      <c r="X61" s="5">
        <v>0</v>
      </c>
      <c r="Y61" s="5">
        <v>249.38</v>
      </c>
    </row>
    <row r="62" spans="1:25" x14ac:dyDescent="0.25">
      <c r="A62" s="5" t="s">
        <v>26</v>
      </c>
      <c r="B62" s="5" t="s">
        <v>44</v>
      </c>
      <c r="C62" s="5" t="s">
        <v>46</v>
      </c>
      <c r="D62" s="5" t="s">
        <v>52</v>
      </c>
      <c r="E62" s="5" t="s">
        <v>37</v>
      </c>
      <c r="F62" s="5" t="s">
        <v>129</v>
      </c>
      <c r="G62" s="5">
        <v>2019</v>
      </c>
      <c r="H62" s="5" t="str">
        <f>_xlfn.CONCAT("94210849041")</f>
        <v>94210849041</v>
      </c>
      <c r="I62" s="5" t="s">
        <v>29</v>
      </c>
      <c r="J62" s="5" t="s">
        <v>30</v>
      </c>
      <c r="K62" s="5" t="str">
        <f>_xlfn.CONCAT("")</f>
        <v/>
      </c>
      <c r="L62" s="5" t="str">
        <f>_xlfn.CONCAT("13 13.1 4a")</f>
        <v>13 13.1 4a</v>
      </c>
      <c r="M62" s="5" t="str">
        <f>_xlfn.CONCAT("CCCLRI98R53I156M")</f>
        <v>CCCLRI98R53I156M</v>
      </c>
      <c r="N62" s="5" t="s">
        <v>137</v>
      </c>
      <c r="O62" s="5" t="s">
        <v>136</v>
      </c>
      <c r="P62" s="6">
        <v>44176</v>
      </c>
      <c r="Q62" s="5" t="s">
        <v>31</v>
      </c>
      <c r="R62" s="5" t="s">
        <v>32</v>
      </c>
      <c r="S62" s="5" t="s">
        <v>33</v>
      </c>
      <c r="T62" s="5"/>
      <c r="U62" s="5">
        <v>577.28</v>
      </c>
      <c r="V62" s="5">
        <v>248.92</v>
      </c>
      <c r="W62" s="5">
        <v>229.87</v>
      </c>
      <c r="X62" s="5">
        <v>0</v>
      </c>
      <c r="Y62" s="5">
        <v>98.49</v>
      </c>
    </row>
    <row r="63" spans="1:25" x14ac:dyDescent="0.25">
      <c r="A63" s="5" t="s">
        <v>26</v>
      </c>
      <c r="B63" s="5" t="s">
        <v>44</v>
      </c>
      <c r="C63" s="5" t="s">
        <v>46</v>
      </c>
      <c r="D63" s="5" t="s">
        <v>52</v>
      </c>
      <c r="E63" s="5" t="s">
        <v>41</v>
      </c>
      <c r="F63" s="5" t="s">
        <v>138</v>
      </c>
      <c r="G63" s="5">
        <v>2018</v>
      </c>
      <c r="H63" s="5" t="str">
        <f>_xlfn.CONCAT("84210924746")</f>
        <v>84210924746</v>
      </c>
      <c r="I63" s="5" t="s">
        <v>29</v>
      </c>
      <c r="J63" s="5" t="s">
        <v>30</v>
      </c>
      <c r="K63" s="5" t="str">
        <f>_xlfn.CONCAT("")</f>
        <v/>
      </c>
      <c r="L63" s="5" t="str">
        <f>_xlfn.CONCAT("13 13.1 4a")</f>
        <v>13 13.1 4a</v>
      </c>
      <c r="M63" s="5" t="str">
        <f>_xlfn.CONCAT("CLSFBA74B26E834C")</f>
        <v>CLSFBA74B26E834C</v>
      </c>
      <c r="N63" s="5" t="s">
        <v>139</v>
      </c>
      <c r="O63" s="5" t="s">
        <v>136</v>
      </c>
      <c r="P63" s="6">
        <v>44176</v>
      </c>
      <c r="Q63" s="5" t="s">
        <v>31</v>
      </c>
      <c r="R63" s="5" t="s">
        <v>32</v>
      </c>
      <c r="S63" s="5" t="s">
        <v>33</v>
      </c>
      <c r="T63" s="5"/>
      <c r="U63" s="7">
        <v>5920.58</v>
      </c>
      <c r="V63" s="7">
        <v>2552.9499999999998</v>
      </c>
      <c r="W63" s="7">
        <v>2357.5700000000002</v>
      </c>
      <c r="X63" s="5">
        <v>0</v>
      </c>
      <c r="Y63" s="7">
        <v>1010.06</v>
      </c>
    </row>
    <row r="64" spans="1:25" ht="24.75" x14ac:dyDescent="0.25">
      <c r="A64" s="5" t="s">
        <v>26</v>
      </c>
      <c r="B64" s="5" t="s">
        <v>44</v>
      </c>
      <c r="C64" s="5" t="s">
        <v>46</v>
      </c>
      <c r="D64" s="5" t="s">
        <v>56</v>
      </c>
      <c r="E64" s="5" t="s">
        <v>28</v>
      </c>
      <c r="F64" s="5" t="s">
        <v>140</v>
      </c>
      <c r="G64" s="5">
        <v>2018</v>
      </c>
      <c r="H64" s="5" t="str">
        <f>_xlfn.CONCAT("84210874933")</f>
        <v>84210874933</v>
      </c>
      <c r="I64" s="5" t="s">
        <v>29</v>
      </c>
      <c r="J64" s="5" t="s">
        <v>30</v>
      </c>
      <c r="K64" s="5" t="str">
        <f>_xlfn.CONCAT("")</f>
        <v/>
      </c>
      <c r="L64" s="5" t="str">
        <f>_xlfn.CONCAT("13 13.1 4a")</f>
        <v>13 13.1 4a</v>
      </c>
      <c r="M64" s="5" t="str">
        <f>_xlfn.CONCAT("BLCFRZ67C28H274A")</f>
        <v>BLCFRZ67C28H274A</v>
      </c>
      <c r="N64" s="5" t="s">
        <v>141</v>
      </c>
      <c r="O64" s="5" t="s">
        <v>136</v>
      </c>
      <c r="P64" s="6">
        <v>44176</v>
      </c>
      <c r="Q64" s="5" t="s">
        <v>31</v>
      </c>
      <c r="R64" s="5" t="s">
        <v>32</v>
      </c>
      <c r="S64" s="5" t="s">
        <v>33</v>
      </c>
      <c r="T64" s="5"/>
      <c r="U64" s="5">
        <v>194.27</v>
      </c>
      <c r="V64" s="5">
        <v>83.77</v>
      </c>
      <c r="W64" s="5">
        <v>77.36</v>
      </c>
      <c r="X64" s="5">
        <v>0</v>
      </c>
      <c r="Y64" s="5">
        <v>33.14</v>
      </c>
    </row>
    <row r="65" spans="1:25" ht="24.75" x14ac:dyDescent="0.25">
      <c r="A65" s="5" t="s">
        <v>26</v>
      </c>
      <c r="B65" s="5" t="s">
        <v>44</v>
      </c>
      <c r="C65" s="5" t="s">
        <v>46</v>
      </c>
      <c r="D65" s="5" t="s">
        <v>56</v>
      </c>
      <c r="E65" s="5" t="s">
        <v>37</v>
      </c>
      <c r="F65" s="5" t="s">
        <v>69</v>
      </c>
      <c r="G65" s="5">
        <v>2018</v>
      </c>
      <c r="H65" s="5" t="str">
        <f>_xlfn.CONCAT("84210522920")</f>
        <v>84210522920</v>
      </c>
      <c r="I65" s="5" t="s">
        <v>29</v>
      </c>
      <c r="J65" s="5" t="s">
        <v>30</v>
      </c>
      <c r="K65" s="5" t="str">
        <f>_xlfn.CONCAT("")</f>
        <v/>
      </c>
      <c r="L65" s="5" t="str">
        <f>_xlfn.CONCAT("13 13.1 4a")</f>
        <v>13 13.1 4a</v>
      </c>
      <c r="M65" s="5" t="str">
        <f>_xlfn.CONCAT("BRLRRT69A11D749G")</f>
        <v>BRLRRT69A11D749G</v>
      </c>
      <c r="N65" s="5" t="s">
        <v>142</v>
      </c>
      <c r="O65" s="5" t="s">
        <v>136</v>
      </c>
      <c r="P65" s="6">
        <v>44176</v>
      </c>
      <c r="Q65" s="5" t="s">
        <v>31</v>
      </c>
      <c r="R65" s="5" t="s">
        <v>32</v>
      </c>
      <c r="S65" s="5" t="s">
        <v>33</v>
      </c>
      <c r="T65" s="5"/>
      <c r="U65" s="5">
        <v>229.45</v>
      </c>
      <c r="V65" s="5">
        <v>98.94</v>
      </c>
      <c r="W65" s="5">
        <v>91.37</v>
      </c>
      <c r="X65" s="5">
        <v>0</v>
      </c>
      <c r="Y65" s="5">
        <v>39.14</v>
      </c>
    </row>
    <row r="66" spans="1:25" ht="24.75" x14ac:dyDescent="0.25">
      <c r="A66" s="5" t="s">
        <v>26</v>
      </c>
      <c r="B66" s="5" t="s">
        <v>44</v>
      </c>
      <c r="C66" s="5" t="s">
        <v>46</v>
      </c>
      <c r="D66" s="5" t="s">
        <v>56</v>
      </c>
      <c r="E66" s="5" t="s">
        <v>38</v>
      </c>
      <c r="F66" s="5" t="s">
        <v>143</v>
      </c>
      <c r="G66" s="5">
        <v>2018</v>
      </c>
      <c r="H66" s="5" t="str">
        <f>_xlfn.CONCAT("84211057082")</f>
        <v>84211057082</v>
      </c>
      <c r="I66" s="5" t="s">
        <v>29</v>
      </c>
      <c r="J66" s="5" t="s">
        <v>30</v>
      </c>
      <c r="K66" s="5" t="str">
        <f>_xlfn.CONCAT("")</f>
        <v/>
      </c>
      <c r="L66" s="5" t="str">
        <f>_xlfn.CONCAT("13 13.1 4a")</f>
        <v>13 13.1 4a</v>
      </c>
      <c r="M66" s="5" t="str">
        <f>_xlfn.CONCAT("FGLFST67P22L500M")</f>
        <v>FGLFST67P22L500M</v>
      </c>
      <c r="N66" s="5" t="s">
        <v>144</v>
      </c>
      <c r="O66" s="5" t="s">
        <v>136</v>
      </c>
      <c r="P66" s="6">
        <v>44176</v>
      </c>
      <c r="Q66" s="5" t="s">
        <v>31</v>
      </c>
      <c r="R66" s="5" t="s">
        <v>32</v>
      </c>
      <c r="S66" s="5" t="s">
        <v>33</v>
      </c>
      <c r="T66" s="5"/>
      <c r="U66" s="7">
        <v>3587.14</v>
      </c>
      <c r="V66" s="7">
        <v>1546.77</v>
      </c>
      <c r="W66" s="7">
        <v>1428.4</v>
      </c>
      <c r="X66" s="5">
        <v>0</v>
      </c>
      <c r="Y66" s="5">
        <v>611.97</v>
      </c>
    </row>
    <row r="67" spans="1:25" ht="24.75" x14ac:dyDescent="0.25">
      <c r="A67" s="5" t="s">
        <v>26</v>
      </c>
      <c r="B67" s="5" t="s">
        <v>44</v>
      </c>
      <c r="C67" s="5" t="s">
        <v>46</v>
      </c>
      <c r="D67" s="5" t="s">
        <v>56</v>
      </c>
      <c r="E67" s="5" t="s">
        <v>37</v>
      </c>
      <c r="F67" s="5" t="s">
        <v>62</v>
      </c>
      <c r="G67" s="5">
        <v>2018</v>
      </c>
      <c r="H67" s="5" t="str">
        <f>_xlfn.CONCAT("84210907188")</f>
        <v>84210907188</v>
      </c>
      <c r="I67" s="5" t="s">
        <v>29</v>
      </c>
      <c r="J67" s="5" t="s">
        <v>30</v>
      </c>
      <c r="K67" s="5" t="str">
        <f>_xlfn.CONCAT("")</f>
        <v/>
      </c>
      <c r="L67" s="5" t="str">
        <f>_xlfn.CONCAT("13 13.1 4a")</f>
        <v>13 13.1 4a</v>
      </c>
      <c r="M67" s="5" t="str">
        <f>_xlfn.CONCAT("FRRGNI62P29I681Q")</f>
        <v>FRRGNI62P29I681Q</v>
      </c>
      <c r="N67" s="5" t="s">
        <v>145</v>
      </c>
      <c r="O67" s="5" t="s">
        <v>136</v>
      </c>
      <c r="P67" s="6">
        <v>44176</v>
      </c>
      <c r="Q67" s="5" t="s">
        <v>31</v>
      </c>
      <c r="R67" s="5" t="s">
        <v>32</v>
      </c>
      <c r="S67" s="5" t="s">
        <v>33</v>
      </c>
      <c r="T67" s="5"/>
      <c r="U67" s="5">
        <v>671</v>
      </c>
      <c r="V67" s="5">
        <v>289.33999999999997</v>
      </c>
      <c r="W67" s="5">
        <v>267.19</v>
      </c>
      <c r="X67" s="5">
        <v>0</v>
      </c>
      <c r="Y67" s="5">
        <v>114.47</v>
      </c>
    </row>
    <row r="68" spans="1:25" ht="24.75" x14ac:dyDescent="0.25">
      <c r="A68" s="5" t="s">
        <v>26</v>
      </c>
      <c r="B68" s="5" t="s">
        <v>44</v>
      </c>
      <c r="C68" s="5" t="s">
        <v>46</v>
      </c>
      <c r="D68" s="5" t="s">
        <v>56</v>
      </c>
      <c r="E68" s="5" t="s">
        <v>37</v>
      </c>
      <c r="F68" s="5" t="s">
        <v>62</v>
      </c>
      <c r="G68" s="5">
        <v>2018</v>
      </c>
      <c r="H68" s="5" t="str">
        <f>_xlfn.CONCAT("84210810408")</f>
        <v>84210810408</v>
      </c>
      <c r="I68" s="5" t="s">
        <v>29</v>
      </c>
      <c r="J68" s="5" t="s">
        <v>30</v>
      </c>
      <c r="K68" s="5" t="str">
        <f>_xlfn.CONCAT("")</f>
        <v/>
      </c>
      <c r="L68" s="5" t="str">
        <f>_xlfn.CONCAT("13 13.1 4a")</f>
        <v>13 13.1 4a</v>
      </c>
      <c r="M68" s="5" t="str">
        <f>_xlfn.CONCAT("02233160510")</f>
        <v>02233160510</v>
      </c>
      <c r="N68" s="5" t="s">
        <v>146</v>
      </c>
      <c r="O68" s="5" t="s">
        <v>136</v>
      </c>
      <c r="P68" s="6">
        <v>44176</v>
      </c>
      <c r="Q68" s="5" t="s">
        <v>31</v>
      </c>
      <c r="R68" s="5" t="s">
        <v>32</v>
      </c>
      <c r="S68" s="5" t="s">
        <v>33</v>
      </c>
      <c r="T68" s="5"/>
      <c r="U68" s="7">
        <v>1033.52</v>
      </c>
      <c r="V68" s="5">
        <v>445.65</v>
      </c>
      <c r="W68" s="5">
        <v>411.55</v>
      </c>
      <c r="X68" s="5">
        <v>0</v>
      </c>
      <c r="Y68" s="5">
        <v>176.32</v>
      </c>
    </row>
    <row r="69" spans="1:25" ht="24.75" x14ac:dyDescent="0.25">
      <c r="A69" s="5" t="s">
        <v>26</v>
      </c>
      <c r="B69" s="5" t="s">
        <v>44</v>
      </c>
      <c r="C69" s="5" t="s">
        <v>46</v>
      </c>
      <c r="D69" s="5" t="s">
        <v>56</v>
      </c>
      <c r="E69" s="5" t="s">
        <v>28</v>
      </c>
      <c r="F69" s="5" t="s">
        <v>147</v>
      </c>
      <c r="G69" s="5">
        <v>2018</v>
      </c>
      <c r="H69" s="5" t="str">
        <f>_xlfn.CONCAT("84210802942")</f>
        <v>84210802942</v>
      </c>
      <c r="I69" s="5" t="s">
        <v>29</v>
      </c>
      <c r="J69" s="5" t="s">
        <v>30</v>
      </c>
      <c r="K69" s="5" t="str">
        <f>_xlfn.CONCAT("")</f>
        <v/>
      </c>
      <c r="L69" s="5" t="str">
        <f>_xlfn.CONCAT("13 13.1 4a")</f>
        <v>13 13.1 4a</v>
      </c>
      <c r="M69" s="5" t="str">
        <f>_xlfn.CONCAT("SRFDNC49R23H935Q")</f>
        <v>SRFDNC49R23H935Q</v>
      </c>
      <c r="N69" s="5" t="s">
        <v>148</v>
      </c>
      <c r="O69" s="5" t="s">
        <v>136</v>
      </c>
      <c r="P69" s="6">
        <v>44176</v>
      </c>
      <c r="Q69" s="5" t="s">
        <v>31</v>
      </c>
      <c r="R69" s="5" t="s">
        <v>32</v>
      </c>
      <c r="S69" s="5" t="s">
        <v>33</v>
      </c>
      <c r="T69" s="5"/>
      <c r="U69" s="7">
        <v>2667.14</v>
      </c>
      <c r="V69" s="7">
        <v>1150.07</v>
      </c>
      <c r="W69" s="7">
        <v>1062.06</v>
      </c>
      <c r="X69" s="5">
        <v>0</v>
      </c>
      <c r="Y69" s="5">
        <v>455.01</v>
      </c>
    </row>
    <row r="70" spans="1:25" ht="24.75" x14ac:dyDescent="0.25">
      <c r="A70" s="5" t="s">
        <v>26</v>
      </c>
      <c r="B70" s="5" t="s">
        <v>44</v>
      </c>
      <c r="C70" s="5" t="s">
        <v>46</v>
      </c>
      <c r="D70" s="5" t="s">
        <v>56</v>
      </c>
      <c r="E70" s="5" t="s">
        <v>40</v>
      </c>
      <c r="F70" s="5" t="s">
        <v>149</v>
      </c>
      <c r="G70" s="5">
        <v>2018</v>
      </c>
      <c r="H70" s="5" t="str">
        <f>_xlfn.CONCAT("84210746263")</f>
        <v>84210746263</v>
      </c>
      <c r="I70" s="5" t="s">
        <v>29</v>
      </c>
      <c r="J70" s="5" t="s">
        <v>30</v>
      </c>
      <c r="K70" s="5" t="str">
        <f>_xlfn.CONCAT("")</f>
        <v/>
      </c>
      <c r="L70" s="5" t="str">
        <f>_xlfn.CONCAT("13 13.1 4a")</f>
        <v>13 13.1 4a</v>
      </c>
      <c r="M70" s="5" t="str">
        <f>_xlfn.CONCAT("CNCFPP43D28E785Y")</f>
        <v>CNCFPP43D28E785Y</v>
      </c>
      <c r="N70" s="5" t="s">
        <v>150</v>
      </c>
      <c r="O70" s="5" t="s">
        <v>136</v>
      </c>
      <c r="P70" s="6">
        <v>44176</v>
      </c>
      <c r="Q70" s="5" t="s">
        <v>31</v>
      </c>
      <c r="R70" s="5" t="s">
        <v>32</v>
      </c>
      <c r="S70" s="5" t="s">
        <v>33</v>
      </c>
      <c r="T70" s="5"/>
      <c r="U70" s="7">
        <v>2281.4</v>
      </c>
      <c r="V70" s="5">
        <v>983.74</v>
      </c>
      <c r="W70" s="5">
        <v>908.45</v>
      </c>
      <c r="X70" s="5">
        <v>0</v>
      </c>
      <c r="Y70" s="5">
        <v>389.21</v>
      </c>
    </row>
    <row r="71" spans="1:25" ht="24.75" x14ac:dyDescent="0.25">
      <c r="A71" s="5" t="s">
        <v>26</v>
      </c>
      <c r="B71" s="5" t="s">
        <v>44</v>
      </c>
      <c r="C71" s="5" t="s">
        <v>46</v>
      </c>
      <c r="D71" s="5" t="s">
        <v>47</v>
      </c>
      <c r="E71" s="5" t="s">
        <v>37</v>
      </c>
      <c r="F71" s="5" t="s">
        <v>151</v>
      </c>
      <c r="G71" s="5">
        <v>2018</v>
      </c>
      <c r="H71" s="5" t="str">
        <f>_xlfn.CONCAT("84210460402")</f>
        <v>84210460402</v>
      </c>
      <c r="I71" s="5" t="s">
        <v>29</v>
      </c>
      <c r="J71" s="5" t="s">
        <v>30</v>
      </c>
      <c r="K71" s="5" t="str">
        <f>_xlfn.CONCAT("")</f>
        <v/>
      </c>
      <c r="L71" s="5" t="str">
        <f>_xlfn.CONCAT("13 13.1 4a")</f>
        <v>13 13.1 4a</v>
      </c>
      <c r="M71" s="5" t="str">
        <f>_xlfn.CONCAT("BTTDVD61P13D451P")</f>
        <v>BTTDVD61P13D451P</v>
      </c>
      <c r="N71" s="5" t="s">
        <v>152</v>
      </c>
      <c r="O71" s="5" t="s">
        <v>136</v>
      </c>
      <c r="P71" s="6">
        <v>44176</v>
      </c>
      <c r="Q71" s="5" t="s">
        <v>31</v>
      </c>
      <c r="R71" s="5" t="s">
        <v>32</v>
      </c>
      <c r="S71" s="5" t="s">
        <v>33</v>
      </c>
      <c r="T71" s="5"/>
      <c r="U71" s="7">
        <v>4915.6400000000003</v>
      </c>
      <c r="V71" s="7">
        <v>2119.62</v>
      </c>
      <c r="W71" s="7">
        <v>1957.41</v>
      </c>
      <c r="X71" s="5">
        <v>0</v>
      </c>
      <c r="Y71" s="5">
        <v>838.61</v>
      </c>
    </row>
    <row r="72" spans="1:25" ht="24.75" x14ac:dyDescent="0.25">
      <c r="A72" s="5" t="s">
        <v>26</v>
      </c>
      <c r="B72" s="5" t="s">
        <v>44</v>
      </c>
      <c r="C72" s="5" t="s">
        <v>46</v>
      </c>
      <c r="D72" s="5" t="s">
        <v>56</v>
      </c>
      <c r="E72" s="5" t="s">
        <v>37</v>
      </c>
      <c r="F72" s="5" t="s">
        <v>153</v>
      </c>
      <c r="G72" s="5">
        <v>2019</v>
      </c>
      <c r="H72" s="5" t="str">
        <f>_xlfn.CONCAT("94210675537")</f>
        <v>94210675537</v>
      </c>
      <c r="I72" s="5" t="s">
        <v>35</v>
      </c>
      <c r="J72" s="5" t="s">
        <v>30</v>
      </c>
      <c r="K72" s="5" t="str">
        <f>_xlfn.CONCAT("")</f>
        <v/>
      </c>
      <c r="L72" s="5" t="str">
        <f>_xlfn.CONCAT("13 13.1 4a")</f>
        <v>13 13.1 4a</v>
      </c>
      <c r="M72" s="5" t="str">
        <f>_xlfn.CONCAT("PDLLCN39P17D809P")</f>
        <v>PDLLCN39P17D809P</v>
      </c>
      <c r="N72" s="5" t="s">
        <v>154</v>
      </c>
      <c r="O72" s="5" t="s">
        <v>136</v>
      </c>
      <c r="P72" s="6">
        <v>44176</v>
      </c>
      <c r="Q72" s="5" t="s">
        <v>31</v>
      </c>
      <c r="R72" s="5" t="s">
        <v>32</v>
      </c>
      <c r="S72" s="5" t="s">
        <v>33</v>
      </c>
      <c r="T72" s="5"/>
      <c r="U72" s="5">
        <v>738.72</v>
      </c>
      <c r="V72" s="5">
        <v>318.54000000000002</v>
      </c>
      <c r="W72" s="5">
        <v>294.16000000000003</v>
      </c>
      <c r="X72" s="5">
        <v>0</v>
      </c>
      <c r="Y72" s="5">
        <v>126.02</v>
      </c>
    </row>
    <row r="73" spans="1:25" ht="24.75" x14ac:dyDescent="0.25">
      <c r="A73" s="5" t="s">
        <v>26</v>
      </c>
      <c r="B73" s="5" t="s">
        <v>27</v>
      </c>
      <c r="C73" s="5" t="s">
        <v>46</v>
      </c>
      <c r="D73" s="5" t="s">
        <v>93</v>
      </c>
      <c r="E73" s="5" t="s">
        <v>37</v>
      </c>
      <c r="F73" s="5" t="s">
        <v>111</v>
      </c>
      <c r="G73" s="5">
        <v>2017</v>
      </c>
      <c r="H73" s="5" t="str">
        <f>_xlfn.CONCAT("04270185178")</f>
        <v>04270185178</v>
      </c>
      <c r="I73" s="5" t="s">
        <v>29</v>
      </c>
      <c r="J73" s="5" t="s">
        <v>30</v>
      </c>
      <c r="K73" s="5" t="str">
        <f>_xlfn.CONCAT("")</f>
        <v/>
      </c>
      <c r="L73" s="5" t="str">
        <f>_xlfn.CONCAT("6 6.1 2b")</f>
        <v>6 6.1 2b</v>
      </c>
      <c r="M73" s="5" t="str">
        <f>_xlfn.CONCAT("MTLLDN94S42Z100O")</f>
        <v>MTLLDN94S42Z100O</v>
      </c>
      <c r="N73" s="5" t="s">
        <v>155</v>
      </c>
      <c r="O73" s="5" t="s">
        <v>156</v>
      </c>
      <c r="P73" s="6">
        <v>44176</v>
      </c>
      <c r="Q73" s="5" t="s">
        <v>31</v>
      </c>
      <c r="R73" s="5" t="s">
        <v>39</v>
      </c>
      <c r="S73" s="5" t="s">
        <v>33</v>
      </c>
      <c r="T73" s="5"/>
      <c r="U73" s="7">
        <v>28000</v>
      </c>
      <c r="V73" s="7">
        <v>12073.6</v>
      </c>
      <c r="W73" s="7">
        <v>11149.6</v>
      </c>
      <c r="X73" s="5">
        <v>0</v>
      </c>
      <c r="Y73" s="7">
        <v>4776.8</v>
      </c>
    </row>
    <row r="74" spans="1:25" ht="24.75" x14ac:dyDescent="0.25">
      <c r="A74" s="5" t="s">
        <v>26</v>
      </c>
      <c r="B74" s="5" t="s">
        <v>27</v>
      </c>
      <c r="C74" s="5" t="s">
        <v>46</v>
      </c>
      <c r="D74" s="5" t="s">
        <v>52</v>
      </c>
      <c r="E74" s="5" t="s">
        <v>34</v>
      </c>
      <c r="F74" s="5" t="s">
        <v>34</v>
      </c>
      <c r="G74" s="5">
        <v>2017</v>
      </c>
      <c r="H74" s="5" t="str">
        <f>_xlfn.CONCAT("04270184999")</f>
        <v>04270184999</v>
      </c>
      <c r="I74" s="5" t="s">
        <v>29</v>
      </c>
      <c r="J74" s="5" t="s">
        <v>30</v>
      </c>
      <c r="K74" s="5" t="str">
        <f>_xlfn.CONCAT("")</f>
        <v/>
      </c>
      <c r="L74" s="5" t="str">
        <f>_xlfn.CONCAT("4 4.1 2a")</f>
        <v>4 4.1 2a</v>
      </c>
      <c r="M74" s="5" t="str">
        <f>_xlfn.CONCAT("01988400436")</f>
        <v>01988400436</v>
      </c>
      <c r="N74" s="5" t="s">
        <v>157</v>
      </c>
      <c r="O74" s="5" t="s">
        <v>158</v>
      </c>
      <c r="P74" s="6">
        <v>44176</v>
      </c>
      <c r="Q74" s="5" t="s">
        <v>31</v>
      </c>
      <c r="R74" s="5" t="s">
        <v>39</v>
      </c>
      <c r="S74" s="5" t="s">
        <v>33</v>
      </c>
      <c r="T74" s="5"/>
      <c r="U74" s="7">
        <v>56750</v>
      </c>
      <c r="V74" s="7">
        <v>24470.6</v>
      </c>
      <c r="W74" s="7">
        <v>22597.85</v>
      </c>
      <c r="X74" s="5">
        <v>0</v>
      </c>
      <c r="Y74" s="7">
        <v>9681.5499999999993</v>
      </c>
    </row>
    <row r="75" spans="1:25" ht="24.75" x14ac:dyDescent="0.25">
      <c r="A75" s="5" t="s">
        <v>26</v>
      </c>
      <c r="B75" s="5" t="s">
        <v>44</v>
      </c>
      <c r="C75" s="5" t="s">
        <v>46</v>
      </c>
      <c r="D75" s="5" t="s">
        <v>56</v>
      </c>
      <c r="E75" s="5" t="s">
        <v>37</v>
      </c>
      <c r="F75" s="5" t="s">
        <v>159</v>
      </c>
      <c r="G75" s="5">
        <v>2019</v>
      </c>
      <c r="H75" s="5" t="str">
        <f>_xlfn.CONCAT("94780080498")</f>
        <v>94780080498</v>
      </c>
      <c r="I75" s="5" t="s">
        <v>29</v>
      </c>
      <c r="J75" s="5" t="s">
        <v>45</v>
      </c>
      <c r="K75" s="5" t="str">
        <f>_xlfn.CONCAT("221")</f>
        <v>221</v>
      </c>
      <c r="L75" s="5" t="str">
        <f>_xlfn.CONCAT("8 8.1 5e")</f>
        <v>8 8.1 5e</v>
      </c>
      <c r="M75" s="5" t="str">
        <f>_xlfn.CONCAT("FLLMNG55H60A327E")</f>
        <v>FLLMNG55H60A327E</v>
      </c>
      <c r="N75" s="5" t="s">
        <v>160</v>
      </c>
      <c r="O75" s="5" t="s">
        <v>161</v>
      </c>
      <c r="P75" s="6">
        <v>44179</v>
      </c>
      <c r="Q75" s="5" t="s">
        <v>31</v>
      </c>
      <c r="R75" s="5" t="s">
        <v>32</v>
      </c>
      <c r="S75" s="5" t="s">
        <v>33</v>
      </c>
      <c r="T75" s="5"/>
      <c r="U75" s="5">
        <v>477</v>
      </c>
      <c r="V75" s="5">
        <v>205.68</v>
      </c>
      <c r="W75" s="5">
        <v>189.94</v>
      </c>
      <c r="X75" s="5">
        <v>0</v>
      </c>
      <c r="Y75" s="5">
        <v>81.38</v>
      </c>
    </row>
    <row r="76" spans="1:25" ht="24.75" x14ac:dyDescent="0.25">
      <c r="A76" s="5" t="s">
        <v>26</v>
      </c>
      <c r="B76" s="5" t="s">
        <v>27</v>
      </c>
      <c r="C76" s="5" t="s">
        <v>46</v>
      </c>
      <c r="D76" s="5" t="s">
        <v>52</v>
      </c>
      <c r="E76" s="5" t="s">
        <v>36</v>
      </c>
      <c r="F76" s="5" t="s">
        <v>162</v>
      </c>
      <c r="G76" s="5">
        <v>2017</v>
      </c>
      <c r="H76" s="5" t="str">
        <f>_xlfn.CONCAT("04270185210")</f>
        <v>04270185210</v>
      </c>
      <c r="I76" s="5" t="s">
        <v>29</v>
      </c>
      <c r="J76" s="5" t="s">
        <v>30</v>
      </c>
      <c r="K76" s="5" t="str">
        <f>_xlfn.CONCAT("")</f>
        <v/>
      </c>
      <c r="L76" s="5" t="str">
        <f>_xlfn.CONCAT("8 8.3 5e")</f>
        <v>8 8.3 5e</v>
      </c>
      <c r="M76" s="5" t="str">
        <f>_xlfn.CONCAT("01300420427")</f>
        <v>01300420427</v>
      </c>
      <c r="N76" s="5" t="s">
        <v>163</v>
      </c>
      <c r="O76" s="5" t="s">
        <v>164</v>
      </c>
      <c r="P76" s="6">
        <v>44176</v>
      </c>
      <c r="Q76" s="5" t="s">
        <v>31</v>
      </c>
      <c r="R76" s="5" t="s">
        <v>32</v>
      </c>
      <c r="S76" s="5" t="s">
        <v>33</v>
      </c>
      <c r="T76" s="5"/>
      <c r="U76" s="7">
        <v>181314.13</v>
      </c>
      <c r="V76" s="7">
        <v>78182.649999999994</v>
      </c>
      <c r="W76" s="7">
        <v>72199.289999999994</v>
      </c>
      <c r="X76" s="5">
        <v>0</v>
      </c>
      <c r="Y76" s="7">
        <v>30932.19</v>
      </c>
    </row>
    <row r="77" spans="1:25" x14ac:dyDescent="0.25">
      <c r="A77" s="5" t="s">
        <v>26</v>
      </c>
      <c r="B77" s="5" t="s">
        <v>27</v>
      </c>
      <c r="C77" s="5" t="s">
        <v>46</v>
      </c>
      <c r="D77" s="5" t="s">
        <v>46</v>
      </c>
      <c r="E77" s="5" t="s">
        <v>34</v>
      </c>
      <c r="F77" s="5" t="s">
        <v>34</v>
      </c>
      <c r="G77" s="5">
        <v>2017</v>
      </c>
      <c r="H77" s="5" t="str">
        <f>_xlfn.CONCAT("04270184783")</f>
        <v>04270184783</v>
      </c>
      <c r="I77" s="5" t="s">
        <v>29</v>
      </c>
      <c r="J77" s="5" t="s">
        <v>30</v>
      </c>
      <c r="K77" s="5" t="str">
        <f>_xlfn.CONCAT("")</f>
        <v/>
      </c>
      <c r="L77" s="5" t="str">
        <f>_xlfn.CONCAT("19 19.2 6b")</f>
        <v>19 19.2 6b</v>
      </c>
      <c r="M77" s="5" t="str">
        <f>_xlfn.CONCAT("DCNCRL69L59G920E")</f>
        <v>DCNCRL69L59G920E</v>
      </c>
      <c r="N77" s="5" t="s">
        <v>165</v>
      </c>
      <c r="O77" s="5" t="s">
        <v>166</v>
      </c>
      <c r="P77" s="6">
        <v>44176</v>
      </c>
      <c r="Q77" s="5" t="s">
        <v>31</v>
      </c>
      <c r="R77" s="5" t="s">
        <v>39</v>
      </c>
      <c r="S77" s="5" t="s">
        <v>33</v>
      </c>
      <c r="T77" s="5"/>
      <c r="U77" s="7">
        <v>12000</v>
      </c>
      <c r="V77" s="7">
        <v>5174.3999999999996</v>
      </c>
      <c r="W77" s="7">
        <v>4778.3999999999996</v>
      </c>
      <c r="X77" s="5">
        <v>0</v>
      </c>
      <c r="Y77" s="7">
        <v>2047.2</v>
      </c>
    </row>
    <row r="78" spans="1:25" ht="24.75" x14ac:dyDescent="0.25">
      <c r="A78" s="5" t="s">
        <v>26</v>
      </c>
      <c r="B78" s="5" t="s">
        <v>27</v>
      </c>
      <c r="C78" s="5" t="s">
        <v>46</v>
      </c>
      <c r="D78" s="5" t="s">
        <v>56</v>
      </c>
      <c r="E78" s="5" t="s">
        <v>37</v>
      </c>
      <c r="F78" s="5" t="s">
        <v>167</v>
      </c>
      <c r="G78" s="5">
        <v>2017</v>
      </c>
      <c r="H78" s="5" t="str">
        <f>_xlfn.CONCAT("04270189428")</f>
        <v>04270189428</v>
      </c>
      <c r="I78" s="5" t="s">
        <v>29</v>
      </c>
      <c r="J78" s="5" t="s">
        <v>30</v>
      </c>
      <c r="K78" s="5" t="str">
        <f>_xlfn.CONCAT("")</f>
        <v/>
      </c>
      <c r="L78" s="5" t="str">
        <f>_xlfn.CONCAT("4 4.1 2a")</f>
        <v>4 4.1 2a</v>
      </c>
      <c r="M78" s="5" t="str">
        <f>_xlfn.CONCAT("DLBRRT62E25E122K")</f>
        <v>DLBRRT62E25E122K</v>
      </c>
      <c r="N78" s="5" t="s">
        <v>168</v>
      </c>
      <c r="O78" s="5" t="s">
        <v>169</v>
      </c>
      <c r="P78" s="6">
        <v>44176</v>
      </c>
      <c r="Q78" s="5" t="s">
        <v>31</v>
      </c>
      <c r="R78" s="5" t="s">
        <v>32</v>
      </c>
      <c r="S78" s="5" t="s">
        <v>33</v>
      </c>
      <c r="T78" s="5"/>
      <c r="U78" s="7">
        <v>16647.009999999998</v>
      </c>
      <c r="V78" s="7">
        <v>7178.19</v>
      </c>
      <c r="W78" s="7">
        <v>6628.84</v>
      </c>
      <c r="X78" s="5">
        <v>0</v>
      </c>
      <c r="Y78" s="7">
        <v>2839.98</v>
      </c>
    </row>
    <row r="79" spans="1:25" ht="24.75" x14ac:dyDescent="0.25">
      <c r="A79" s="5" t="s">
        <v>26</v>
      </c>
      <c r="B79" s="5" t="s">
        <v>27</v>
      </c>
      <c r="C79" s="5" t="s">
        <v>46</v>
      </c>
      <c r="D79" s="5" t="s">
        <v>56</v>
      </c>
      <c r="E79" s="5" t="s">
        <v>36</v>
      </c>
      <c r="F79" s="5" t="s">
        <v>60</v>
      </c>
      <c r="G79" s="5">
        <v>2017</v>
      </c>
      <c r="H79" s="5" t="str">
        <f>_xlfn.CONCAT("04270189436")</f>
        <v>04270189436</v>
      </c>
      <c r="I79" s="5" t="s">
        <v>29</v>
      </c>
      <c r="J79" s="5" t="s">
        <v>30</v>
      </c>
      <c r="K79" s="5" t="str">
        <f>_xlfn.CONCAT("")</f>
        <v/>
      </c>
      <c r="L79" s="5" t="str">
        <f>_xlfn.CONCAT("4 4.1 2a")</f>
        <v>4 4.1 2a</v>
      </c>
      <c r="M79" s="5" t="str">
        <f>_xlfn.CONCAT("PRTSFN65R12A035Z")</f>
        <v>PRTSFN65R12A035Z</v>
      </c>
      <c r="N79" s="5" t="s">
        <v>170</v>
      </c>
      <c r="O79" s="5" t="s">
        <v>169</v>
      </c>
      <c r="P79" s="6">
        <v>44176</v>
      </c>
      <c r="Q79" s="5" t="s">
        <v>31</v>
      </c>
      <c r="R79" s="5" t="s">
        <v>32</v>
      </c>
      <c r="S79" s="5" t="s">
        <v>33</v>
      </c>
      <c r="T79" s="5"/>
      <c r="U79" s="7">
        <v>92645.79</v>
      </c>
      <c r="V79" s="7">
        <v>39948.86</v>
      </c>
      <c r="W79" s="7">
        <v>36891.550000000003</v>
      </c>
      <c r="X79" s="5">
        <v>0</v>
      </c>
      <c r="Y79" s="7">
        <v>15805.38</v>
      </c>
    </row>
    <row r="80" spans="1:25" x14ac:dyDescent="0.25">
      <c r="A80" s="5" t="s">
        <v>26</v>
      </c>
      <c r="B80" s="5" t="s">
        <v>27</v>
      </c>
      <c r="C80" s="5" t="s">
        <v>46</v>
      </c>
      <c r="D80" s="5" t="s">
        <v>52</v>
      </c>
      <c r="E80" s="5" t="s">
        <v>34</v>
      </c>
      <c r="F80" s="5" t="s">
        <v>34</v>
      </c>
      <c r="G80" s="5">
        <v>2017</v>
      </c>
      <c r="H80" s="5" t="str">
        <f>_xlfn.CONCAT("04270184940")</f>
        <v>04270184940</v>
      </c>
      <c r="I80" s="5" t="s">
        <v>29</v>
      </c>
      <c r="J80" s="5" t="s">
        <v>30</v>
      </c>
      <c r="K80" s="5" t="str">
        <f>_xlfn.CONCAT("")</f>
        <v/>
      </c>
      <c r="L80" s="5" t="str">
        <f>_xlfn.CONCAT("6 6.1 2b")</f>
        <v>6 6.1 2b</v>
      </c>
      <c r="M80" s="5" t="str">
        <f>_xlfn.CONCAT("DLLDVD92P30I156S")</f>
        <v>DLLDVD92P30I156S</v>
      </c>
      <c r="N80" s="5" t="s">
        <v>171</v>
      </c>
      <c r="O80" s="5" t="s">
        <v>172</v>
      </c>
      <c r="P80" s="6">
        <v>44176</v>
      </c>
      <c r="Q80" s="5" t="s">
        <v>31</v>
      </c>
      <c r="R80" s="5" t="s">
        <v>39</v>
      </c>
      <c r="S80" s="5" t="s">
        <v>33</v>
      </c>
      <c r="T80" s="5"/>
      <c r="U80" s="7">
        <v>24500</v>
      </c>
      <c r="V80" s="7">
        <v>10564.4</v>
      </c>
      <c r="W80" s="7">
        <v>9755.9</v>
      </c>
      <c r="X80" s="5">
        <v>0</v>
      </c>
      <c r="Y80" s="7">
        <v>4179.7</v>
      </c>
    </row>
    <row r="81" spans="1:25" x14ac:dyDescent="0.25">
      <c r="A81" s="5" t="s">
        <v>26</v>
      </c>
      <c r="B81" s="5" t="s">
        <v>27</v>
      </c>
      <c r="C81" s="5" t="s">
        <v>46</v>
      </c>
      <c r="D81" s="5" t="s">
        <v>52</v>
      </c>
      <c r="E81" s="5" t="s">
        <v>36</v>
      </c>
      <c r="F81" s="5" t="s">
        <v>72</v>
      </c>
      <c r="G81" s="5">
        <v>2017</v>
      </c>
      <c r="H81" s="5" t="str">
        <f>_xlfn.CONCAT("04270190822")</f>
        <v>04270190822</v>
      </c>
      <c r="I81" s="5" t="s">
        <v>29</v>
      </c>
      <c r="J81" s="5" t="s">
        <v>30</v>
      </c>
      <c r="K81" s="5" t="str">
        <f>_xlfn.CONCAT("")</f>
        <v/>
      </c>
      <c r="L81" s="5" t="str">
        <f>_xlfn.CONCAT("6 6.4 2a")</f>
        <v>6 6.4 2a</v>
      </c>
      <c r="M81" s="5" t="str">
        <f>_xlfn.CONCAT("LBRMTT93P26A465A")</f>
        <v>LBRMTT93P26A465A</v>
      </c>
      <c r="N81" s="5" t="s">
        <v>173</v>
      </c>
      <c r="O81" s="5" t="s">
        <v>174</v>
      </c>
      <c r="P81" s="6">
        <v>44176</v>
      </c>
      <c r="Q81" s="5" t="s">
        <v>31</v>
      </c>
      <c r="R81" s="5" t="s">
        <v>39</v>
      </c>
      <c r="S81" s="5" t="s">
        <v>33</v>
      </c>
      <c r="T81" s="5"/>
      <c r="U81" s="7">
        <v>104444.93</v>
      </c>
      <c r="V81" s="7">
        <v>45036.65</v>
      </c>
      <c r="W81" s="7">
        <v>41589.97</v>
      </c>
      <c r="X81" s="5">
        <v>0</v>
      </c>
      <c r="Y81" s="7">
        <v>17818.310000000001</v>
      </c>
    </row>
    <row r="82" spans="1:25" x14ac:dyDescent="0.25">
      <c r="A82" s="5" t="s">
        <v>26</v>
      </c>
      <c r="B82" s="5" t="s">
        <v>27</v>
      </c>
      <c r="C82" s="5" t="s">
        <v>46</v>
      </c>
      <c r="D82" s="5" t="s">
        <v>52</v>
      </c>
      <c r="E82" s="5" t="s">
        <v>36</v>
      </c>
      <c r="F82" s="5" t="s">
        <v>72</v>
      </c>
      <c r="G82" s="5">
        <v>2017</v>
      </c>
      <c r="H82" s="5" t="str">
        <f>_xlfn.CONCAT("04270190814")</f>
        <v>04270190814</v>
      </c>
      <c r="I82" s="5" t="s">
        <v>29</v>
      </c>
      <c r="J82" s="5" t="s">
        <v>30</v>
      </c>
      <c r="K82" s="5" t="str">
        <f>_xlfn.CONCAT("")</f>
        <v/>
      </c>
      <c r="L82" s="5" t="str">
        <f>_xlfn.CONCAT("4 4.1 2a")</f>
        <v>4 4.1 2a</v>
      </c>
      <c r="M82" s="5" t="str">
        <f>_xlfn.CONCAT("LBRMTT93P26A465A")</f>
        <v>LBRMTT93P26A465A</v>
      </c>
      <c r="N82" s="5" t="s">
        <v>173</v>
      </c>
      <c r="O82" s="5" t="s">
        <v>175</v>
      </c>
      <c r="P82" s="6">
        <v>44176</v>
      </c>
      <c r="Q82" s="5" t="s">
        <v>31</v>
      </c>
      <c r="R82" s="5" t="s">
        <v>39</v>
      </c>
      <c r="S82" s="5" t="s">
        <v>33</v>
      </c>
      <c r="T82" s="5"/>
      <c r="U82" s="7">
        <v>18664</v>
      </c>
      <c r="V82" s="7">
        <v>8047.92</v>
      </c>
      <c r="W82" s="7">
        <v>7432</v>
      </c>
      <c r="X82" s="5">
        <v>0</v>
      </c>
      <c r="Y82" s="7">
        <v>3184.08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2020-12-21T09:52:30Z</dcterms:created>
  <dcterms:modified xsi:type="dcterms:W3CDTF">2020-12-21T09:53:11Z</dcterms:modified>
</cp:coreProperties>
</file>