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19\"/>
    </mc:Choice>
  </mc:AlternateContent>
  <xr:revisionPtr revIDLastSave="0" documentId="8_{0B638588-086A-490A-8DD3-AAF14E73CDE4}" xr6:coauthVersionLast="45" xr6:coauthVersionMax="45" xr10:uidLastSave="{00000000-0000-0000-0000-000000000000}"/>
  <bookViews>
    <workbookView xWindow="-120" yWindow="-120" windowWidth="20730" windowHeight="11160" xr2:uid="{F8925C13-19AF-4F7A-B6F9-F7274A0CEECD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6" i="1" l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<sst xmlns="http://schemas.openxmlformats.org/spreadsheetml/2006/main" count="2015" uniqueCount="213">
  <si>
    <t>Dettaglio Domande Pagabili Decreto 419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</si>
  <si>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</si>
  <si>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</si>
  <si>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</si>
  <si>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</si>
  <si>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</si>
  <si>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</si>
  <si>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</si>
  <si>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</si>
  <si>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</si>
  <si>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</si>
  <si>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</si>
  <si>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</si>
  <si>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</si>
  <si>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</si>
  <si>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</si>
  <si>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</si>
  <si>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</si>
  <si>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</si>
  <si>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</si>
  <si>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</si>
  <si>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</si>
  <si>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</si>
  <si>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</si>
  <si>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</si>
  <si>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</si>
  <si>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</si>
  <si>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IN PROPRIO</t>
  </si>
  <si>
    <t>NO</t>
  </si>
  <si>
    <t>Nuova Programmazione</t>
  </si>
  <si>
    <t>In Liquidazione</t>
  </si>
  <si>
    <t>Saldo</t>
  </si>
  <si>
    <t>Co-Finanziato</t>
  </si>
  <si>
    <t>CAA CIA srl</t>
  </si>
  <si>
    <t>CAA Coldiretti srl</t>
  </si>
  <si>
    <t>CAA Confagricoltura srl</t>
  </si>
  <si>
    <t>CAA-CAF AGRI S.R.L.</t>
  </si>
  <si>
    <t>Misure a Superficie</t>
  </si>
  <si>
    <t>CAA LiberiAgricoltori srl già CAA AGCI srl</t>
  </si>
  <si>
    <t>CAA AGRISERVIZI s.r.l.</t>
  </si>
  <si>
    <t>SI</t>
  </si>
  <si>
    <t>CAA UNICAA srl</t>
  </si>
  <si>
    <t>Trascinamenti</t>
  </si>
  <si>
    <t>CAA Liberi Professionisti srl</t>
  </si>
  <si>
    <t>MARCHE</t>
  </si>
  <si>
    <t>SERV. DEC. AGRICOLTURA E ALIM. -ASCOLI PICENO</t>
  </si>
  <si>
    <t>CAA Coldiretti - FERMO - 001</t>
  </si>
  <si>
    <t>DE ANGELIS EMILIO E GIUSEPPE SOC. SEMPLICE</t>
  </si>
  <si>
    <t>AGEA.ASR.2020.1688008</t>
  </si>
  <si>
    <t>SERV. DEC. AGRICOLTURA E ALIM. - MACERATA</t>
  </si>
  <si>
    <t>CAA Coldiretti - MACERATA - 009</t>
  </si>
  <si>
    <t>COLA GIANNI</t>
  </si>
  <si>
    <t>AGEA.ASR.2020.1676562</t>
  </si>
  <si>
    <t>CAA Confagricoltura - MACERATA - 001</t>
  </si>
  <si>
    <t>GAETANI ANNA MARIA</t>
  </si>
  <si>
    <t>SERV. DEC. AGRICOLTURA E ALIMENTAZIONE - ANCONA</t>
  </si>
  <si>
    <t>CAA Coldiretti - ANCONA - 002</t>
  </si>
  <si>
    <t>ELISEI FILOMENA</t>
  </si>
  <si>
    <t>AGEA.ASR.2020.1681247</t>
  </si>
  <si>
    <t>SERV. DEC. AGRICOLTURA E ALIMENTAZIONE - PESARO</t>
  </si>
  <si>
    <t>CAA Coldiretti - PESARO E URBINO - 004</t>
  </si>
  <si>
    <t>F.LLI SILVI MARCHINI GABRIELE &amp; GIANCARLO SOCIETA' SEMPLICE</t>
  </si>
  <si>
    <t>CAA CIA - PESARO E URBINO - 003</t>
  </si>
  <si>
    <t>FOSSI ALBERTO</t>
  </si>
  <si>
    <t>CAA Coldiretti - PESARO E URBINO - 008</t>
  </si>
  <si>
    <t>CANCELLIERI GIANFRANCO</t>
  </si>
  <si>
    <t>CAA Coldiretti - PESARO E URBINO - 006</t>
  </si>
  <si>
    <t>CORBETTA ORNELLA</t>
  </si>
  <si>
    <t>CAA CAF AGRI - PESARO E URBINO - 221</t>
  </si>
  <si>
    <t>DOMINICI RENZO</t>
  </si>
  <si>
    <t>CAA Coldiretti - ANCONA - 003</t>
  </si>
  <si>
    <t>BORTOLUZZI GIACOMO</t>
  </si>
  <si>
    <t>AGEA.ASR.2020.1689542</t>
  </si>
  <si>
    <t>CAA Coldiretti - ASCOLI PICENO - 010</t>
  </si>
  <si>
    <t>GALLI STEFANO</t>
  </si>
  <si>
    <t>CAA Coldiretti - MACERATA - 018</t>
  </si>
  <si>
    <t>GIUSTOZZI STEFANO</t>
  </si>
  <si>
    <t>CAA CIA - ANCONA - 002</t>
  </si>
  <si>
    <t>MORETTI SIMONETTA</t>
  </si>
  <si>
    <t>CAA Coldiretti - MACERATA - 007</t>
  </si>
  <si>
    <t>AGOSTINI GIOVANNI</t>
  </si>
  <si>
    <t>CANDELARESI CARLO</t>
  </si>
  <si>
    <t>TONELLI STEFANO</t>
  </si>
  <si>
    <t>AGEA.ASR.2020.1689547</t>
  </si>
  <si>
    <t>CAA Confagricoltura - FORLI' - CESENA - 001</t>
  </si>
  <si>
    <t>BALACCHI FABRIZIO</t>
  </si>
  <si>
    <t>CAA UNICAA - MACERATA - 002</t>
  </si>
  <si>
    <t>MENNECOZZI PIA</t>
  </si>
  <si>
    <t>DOMINICI ROBERTINO</t>
  </si>
  <si>
    <t>GRANDONI CORRADO</t>
  </si>
  <si>
    <t>MATTEI MAURO</t>
  </si>
  <si>
    <t>PICCHIO MICHELE</t>
  </si>
  <si>
    <t>CAA CIA - PESARO E URBINO - 006</t>
  </si>
  <si>
    <t>SOCIETA' AGRICOLA BRUSCIA S.S</t>
  </si>
  <si>
    <t>CAA AGRISERVIZI - LATINA - 001</t>
  </si>
  <si>
    <t>COCCI NICOLINO</t>
  </si>
  <si>
    <t>CAA CAF AGRI - ASCOLI PICENO - 222</t>
  </si>
  <si>
    <t>DE SANTIS ANGELO</t>
  </si>
  <si>
    <t>MOGLIANI PINA</t>
  </si>
  <si>
    <t>BRUNETTI MASSIMO</t>
  </si>
  <si>
    <t>FOSSI DAVIDE</t>
  </si>
  <si>
    <t>FRATTINI CLAUDINA</t>
  </si>
  <si>
    <t>BRESCINI MARZIO</t>
  </si>
  <si>
    <t>CARLONI ANTONELLO</t>
  </si>
  <si>
    <t>CESARINI ROSANNA</t>
  </si>
  <si>
    <t>DE SANCTIS PASQUALINA</t>
  </si>
  <si>
    <t>BRUNETTI MARCO</t>
  </si>
  <si>
    <t>BRESCINI MICHELE</t>
  </si>
  <si>
    <t>CAA Coldiretti - ANCONA - 006</t>
  </si>
  <si>
    <t>PIERELLI ROMINA</t>
  </si>
  <si>
    <t>CAA CIA - PESARO E URBINO - 005</t>
  </si>
  <si>
    <t>GUATIERI CHRISTIAN</t>
  </si>
  <si>
    <t>POLVERARI NELLO</t>
  </si>
  <si>
    <t>CAA Coldiretti - MACERATA - 017</t>
  </si>
  <si>
    <t>PUGNALI LUCIANO</t>
  </si>
  <si>
    <t>CAA LiberiAgricoltori - MACERATA - 001</t>
  </si>
  <si>
    <t>BATASSA ADALBERTO</t>
  </si>
  <si>
    <t>AGEA.ASR.2020.1212353</t>
  </si>
  <si>
    <t>CAA CIA - ASCOLI PICENO - 004</t>
  </si>
  <si>
    <t>RECCHI FRANCESCHINI MARIO ANTONIO</t>
  </si>
  <si>
    <t>INIZIATIVE FORESTALI DI EMILIO MONTI E PAOLO RIGHI SOCIETA' SEMPLICE</t>
  </si>
  <si>
    <t>AGEA.ASR.2020.1681125</t>
  </si>
  <si>
    <t>CAA Confagricoltura - ANCONA - 001</t>
  </si>
  <si>
    <t>ITALIA SELVATICA S.R.L. AGRICOLA SEMPLIFICATA</t>
  </si>
  <si>
    <t>ILLUMINATI NICOLINO</t>
  </si>
  <si>
    <t>TELONI ROLANDO</t>
  </si>
  <si>
    <t>SOCIETA' AGRICOLA LA CELLA DI MANZAROLI DARIO S.S.</t>
  </si>
  <si>
    <t>SOCIETA' AGRICOLA CIU' CIU' DI BARTOLOMEI MASSIMILIANO E BARTOLOMEI WA</t>
  </si>
  <si>
    <t>AGEA.ASR.2020.1689544</t>
  </si>
  <si>
    <t>NUCCI ERMANNO</t>
  </si>
  <si>
    <t>TOGNI GIOVANNI</t>
  </si>
  <si>
    <t>MAOLONI GIUSEPPINA</t>
  </si>
  <si>
    <t>AZIENDA VINICOLA UMANI RONCHI SPA</t>
  </si>
  <si>
    <t>CAA Liberi Prof.- PESARO E URBINO - 001</t>
  </si>
  <si>
    <t>PACI FLAVIO</t>
  </si>
  <si>
    <t>CIACCI ANGELO</t>
  </si>
  <si>
    <t>CAA LiberiAgricoltori - MACERATA - 005</t>
  </si>
  <si>
    <t>ANTOLINI PAOLO</t>
  </si>
  <si>
    <t>CAA Coldiretti - PESARO E URBINO - 013</t>
  </si>
  <si>
    <t>RAFFEINER JACOB</t>
  </si>
  <si>
    <t>CAA Confagricoltura - PESARO E URBINO - 001</t>
  </si>
  <si>
    <t>FIORELLI STEFANO</t>
  </si>
  <si>
    <t>MANCINI RENATO</t>
  </si>
  <si>
    <t>AGEA.ASR.2020.1691709</t>
  </si>
  <si>
    <t>CAA Coldiretti - ASCOLI PICENO - 040</t>
  </si>
  <si>
    <t>CARLINI OTELLO</t>
  </si>
  <si>
    <t>AGEA.ASR.2020.1689896</t>
  </si>
  <si>
    <t>CAA Coldiretti - ASCOLI PICENO - 015</t>
  </si>
  <si>
    <t>DILETTI ROBERTO</t>
  </si>
  <si>
    <t>DI GIROLAMI MARIANO</t>
  </si>
  <si>
    <t>ANSUINELLI PIETRO</t>
  </si>
  <si>
    <t>CAA Coldiretti - PESARO E URBINO - 001</t>
  </si>
  <si>
    <t>FULVI FRANCESCO</t>
  </si>
  <si>
    <t>CARLINI MARCO</t>
  </si>
  <si>
    <t>IMPECORA ALESSANDRO</t>
  </si>
  <si>
    <t>AGEA.ASR.2020.1678922</t>
  </si>
  <si>
    <t>SOCIETA' AGRICOLA COLLEBRUCIATO S.S.</t>
  </si>
  <si>
    <t>AGEA.ASR.2020.1683218</t>
  </si>
  <si>
    <t>CIOCCOLONI FRANCESCO</t>
  </si>
  <si>
    <t>CRISPICIANI SARA</t>
  </si>
  <si>
    <t>GRAZIOSI GIACOMO</t>
  </si>
  <si>
    <t>CUCCULELLI ANTONIO</t>
  </si>
  <si>
    <t>MARINI DANIELA</t>
  </si>
  <si>
    <t>PAPAVERO MAURIZIO</t>
  </si>
  <si>
    <t>CAA CIA - MACERATA - 001</t>
  </si>
  <si>
    <t>COOP. SOCIALE S. MICHELE ARCANGELO SOC. COOP. AGRICOLA ONLUS</t>
  </si>
  <si>
    <t>SOCIETA' AGRICOLA IL TRIBBIO S.S.</t>
  </si>
  <si>
    <t>SOCIETA' AGRICOLA GRANDONI MAURIZIO E C. S.S.</t>
  </si>
  <si>
    <t>SOCIETA' AGRICOLA FABRIZI VENANZO FABRIZIO E LIBERTI ENZA S.S.</t>
  </si>
  <si>
    <t>SOCIETA' AGRICOLA BECCERICA DI BECCERICA MARCO, OTTAVIO E C. S.S.</t>
  </si>
  <si>
    <t>SOCIETA AGRICOLA NO E MI S.S.</t>
  </si>
  <si>
    <t>BECCERICA ANDREA</t>
  </si>
  <si>
    <t>BRANDI GRAZIANO</t>
  </si>
  <si>
    <t>FARRONI MANUEL</t>
  </si>
  <si>
    <t>BARCAIONI SILVIA</t>
  </si>
  <si>
    <t>CAA CIA - ANCONA - 005</t>
  </si>
  <si>
    <t>CORRENTI SIMONE</t>
  </si>
  <si>
    <t>DELLE FAVE RAFFAELE</t>
  </si>
  <si>
    <t>ORPELLO ENRICO</t>
  </si>
  <si>
    <t>CAA Coldiretti - MACERATA - 002</t>
  </si>
  <si>
    <t>TOMASSONI OTTAVIO</t>
  </si>
  <si>
    <t>SOCIETA'AGRICOLA SUN DI MARCHETTI SHARON LESLIE &amp; C. SAS</t>
  </si>
  <si>
    <t>SOCIETA' AGRICOLA RIVELLI SOCIETA' SEMPLICE</t>
  </si>
  <si>
    <t>SOCIETA' AGRICOLA VILLANOVA S.S.</t>
  </si>
  <si>
    <t>CAA CAF AGRI - FERMO - 221</t>
  </si>
  <si>
    <t>SOCIETA' AGRICOLA FATTORIA SAN MARTINO DI BORDO' FLAVIANO &amp; C SOCIETA'</t>
  </si>
  <si>
    <t>SOCIETA' AGRICOLA DE MICHELIS DI DE MICHELIS MARCO &amp; LUIGI S.S.</t>
  </si>
  <si>
    <t>SABBATINI SILVIA</t>
  </si>
  <si>
    <t>SINCINI MAURO</t>
  </si>
  <si>
    <t>SILVERI LUCA</t>
  </si>
  <si>
    <t>BIO DEGLI AZZONI SOCIETA' SEMPLICE SOCIETA' AGRICOLA</t>
  </si>
  <si>
    <t>CHIUMENTI MARIA CRISTINA</t>
  </si>
  <si>
    <t>TORDINI EURO</t>
  </si>
  <si>
    <t>BOTTA FRANCESCA</t>
  </si>
  <si>
    <t>BRUGNOLA ROBERTO</t>
  </si>
  <si>
    <t>MICUCCI ERMANNO</t>
  </si>
  <si>
    <t>AESA SOCIETA' AGRICOLA S.S.</t>
  </si>
  <si>
    <t>ANGELI SIMONE</t>
  </si>
  <si>
    <t>BERNARDI MANUEL</t>
  </si>
  <si>
    <t>MARAVIGLIA ALBERTO</t>
  </si>
  <si>
    <t>GENTILUCCI RICCARDO</t>
  </si>
  <si>
    <t>SOCIETA' AGRICOLA IL RAGGIO DI SOLE DI ORPELLO S.S.</t>
  </si>
  <si>
    <t>PROPERZI ISABELLA</t>
  </si>
  <si>
    <t>CLEMENTI PIERLUIGI</t>
  </si>
  <si>
    <t>CAA CIA - ASCOLI PICENO - 002</t>
  </si>
  <si>
    <t>LA TENUTA DI MATTIA SOCIETA' SEMPLICE AGROFORESTALE DI FORMENTINI IVAN</t>
  </si>
  <si>
    <t>NEPI ANDREA</t>
  </si>
  <si>
    <t>VALERIANI LINO</t>
  </si>
  <si>
    <t>STRADA PAOLO</t>
  </si>
  <si>
    <t>CAA UNICAA - ASCOLI PICENO - 003</t>
  </si>
  <si>
    <t>ARPINI EMANUELE MARIA</t>
  </si>
  <si>
    <t>MARCONI ANNA</t>
  </si>
  <si>
    <t>RAMADORI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</si>
</sst>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47AB-DA42-4248-87EE-85ACBF2D5468}">
  <dimension ref="A1:Y156"/>
  <sheetViews>
    <sheetView showGridLines="0" tabSelected="1" workbookViewId="0">
      <selection activeCell="E158" sqref="E15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5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140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37</v>
      </c>
      <c r="C4" s="5" t="s">
        <v>44</v>
      </c>
      <c r="D4" s="5" t="s">
        <v>45</v>
      </c>
      <c r="E4" s="5" t="s">
        <v>34</v>
      </c>
      <c r="F4" s="5" t="s">
        <v>46</v>
      </c>
      <c r="G4" s="5">
        <v>2017</v>
      </c>
      <c r="H4" s="5" t="str">
        <f>_xlfn.CONCAT("74240318167")</f>
        <v>74240318167</v>
      </c>
      <c r="I4" s="5" t="s">
        <v>28</v>
      </c>
      <c r="J4" s="5" t="s">
        <v>29</v>
      </c>
      <c r="K4" s="5" t="str">
        <f>_xlfn.CONCAT("")</f>
        <v/>
      </c>
      <c r="L4" s="5" t="str">
        <f>_xlfn.CONCAT("10 10.1 4b")</f>
        <v>10 10.1 4b</v>
      </c>
      <c r="M4" s="5" t="str">
        <f>_xlfn.CONCAT("00707010443")</f>
        <v>00707010443</v>
      </c>
      <c r="N4" s="5" t="s">
        <v>47</v>
      </c>
      <c r="O4" s="5" t="s">
        <v>48</v>
      </c>
      <c r="P4" s="6">
        <v>44166</v>
      </c>
      <c r="Q4" s="5" t="s">
        <v>30</v>
      </c>
      <c r="R4" s="5" t="s">
        <v>31</v>
      </c>
      <c r="S4" s="5" t="s">
        <v>32</v>
      </c>
      <c r="T4" s="5"/>
      <c r="U4" s="7">
        <v>4182.3500000000004</v>
      </c>
      <c r="V4" s="7">
        <v>1803.43</v>
      </c>
      <c r="W4" s="7">
        <v>1665.41</v>
      </c>
      <c r="X4" s="5">
        <v>0</v>
      </c>
      <c r="Y4" s="5">
        <v>713.51</v>
      </c>
    </row>
    <row r="5" spans="1:25" ht="24.75" x14ac:dyDescent="0.25">
      <c r="A5" s="5" t="s">
        <v>26</v>
      </c>
      <c r="B5" s="5" t="s">
        <v>37</v>
      </c>
      <c r="C5" s="5" t="s">
        <v>44</v>
      </c>
      <c r="D5" s="5" t="s">
        <v>45</v>
      </c>
      <c r="E5" s="5" t="s">
        <v>34</v>
      </c>
      <c r="F5" s="5" t="s">
        <v>46</v>
      </c>
      <c r="G5" s="5">
        <v>2019</v>
      </c>
      <c r="H5" s="5" t="str">
        <f>_xlfn.CONCAT("94240829013")</f>
        <v>94240829013</v>
      </c>
      <c r="I5" s="5" t="s">
        <v>28</v>
      </c>
      <c r="J5" s="5" t="s">
        <v>29</v>
      </c>
      <c r="K5" s="5" t="str">
        <f>_xlfn.CONCAT("")</f>
        <v/>
      </c>
      <c r="L5" s="5" t="str">
        <f>_xlfn.CONCAT("10 10.1 4b")</f>
        <v>10 10.1 4b</v>
      </c>
      <c r="M5" s="5" t="str">
        <f>_xlfn.CONCAT("00707010443")</f>
        <v>00707010443</v>
      </c>
      <c r="N5" s="5" t="s">
        <v>47</v>
      </c>
      <c r="O5" s="5" t="s">
        <v>48</v>
      </c>
      <c r="P5" s="6">
        <v>44166</v>
      </c>
      <c r="Q5" s="5" t="s">
        <v>30</v>
      </c>
      <c r="R5" s="5" t="s">
        <v>31</v>
      </c>
      <c r="S5" s="5" t="s">
        <v>32</v>
      </c>
      <c r="T5" s="5"/>
      <c r="U5" s="7">
        <v>4108.13</v>
      </c>
      <c r="V5" s="7">
        <v>1771.43</v>
      </c>
      <c r="W5" s="7">
        <v>1635.86</v>
      </c>
      <c r="X5" s="5">
        <v>0</v>
      </c>
      <c r="Y5" s="5">
        <v>700.84</v>
      </c>
    </row>
    <row r="6" spans="1:25" ht="24.75" x14ac:dyDescent="0.25">
      <c r="A6" s="5" t="s">
        <v>26</v>
      </c>
      <c r="B6" s="5" t="s">
        <v>37</v>
      </c>
      <c r="C6" s="5" t="s">
        <v>44</v>
      </c>
      <c r="D6" s="5" t="s">
        <v>45</v>
      </c>
      <c r="E6" s="5" t="s">
        <v>34</v>
      </c>
      <c r="F6" s="5" t="s">
        <v>46</v>
      </c>
      <c r="G6" s="5">
        <v>2018</v>
      </c>
      <c r="H6" s="5" t="str">
        <f>_xlfn.CONCAT("84240674881")</f>
        <v>84240674881</v>
      </c>
      <c r="I6" s="5" t="s">
        <v>28</v>
      </c>
      <c r="J6" s="5" t="s">
        <v>29</v>
      </c>
      <c r="K6" s="5" t="str">
        <f>_xlfn.CONCAT("")</f>
        <v/>
      </c>
      <c r="L6" s="5" t="str">
        <f>_xlfn.CONCAT("10 10.1 4b")</f>
        <v>10 10.1 4b</v>
      </c>
      <c r="M6" s="5" t="str">
        <f>_xlfn.CONCAT("00707010443")</f>
        <v>00707010443</v>
      </c>
      <c r="N6" s="5" t="s">
        <v>47</v>
      </c>
      <c r="O6" s="5" t="s">
        <v>48</v>
      </c>
      <c r="P6" s="6">
        <v>44166</v>
      </c>
      <c r="Q6" s="5" t="s">
        <v>30</v>
      </c>
      <c r="R6" s="5" t="s">
        <v>31</v>
      </c>
      <c r="S6" s="5" t="s">
        <v>32</v>
      </c>
      <c r="T6" s="5"/>
      <c r="U6" s="7">
        <v>4093.5</v>
      </c>
      <c r="V6" s="7">
        <v>1765.12</v>
      </c>
      <c r="W6" s="7">
        <v>1630.03</v>
      </c>
      <c r="X6" s="5">
        <v>0</v>
      </c>
      <c r="Y6" s="5">
        <v>698.35</v>
      </c>
    </row>
    <row r="7" spans="1:25" x14ac:dyDescent="0.25">
      <c r="A7" s="5" t="s">
        <v>26</v>
      </c>
      <c r="B7" s="5" t="s">
        <v>37</v>
      </c>
      <c r="C7" s="5" t="s">
        <v>44</v>
      </c>
      <c r="D7" s="5" t="s">
        <v>49</v>
      </c>
      <c r="E7" s="5" t="s">
        <v>34</v>
      </c>
      <c r="F7" s="5" t="s">
        <v>50</v>
      </c>
      <c r="G7" s="5">
        <v>2019</v>
      </c>
      <c r="H7" s="5" t="str">
        <f>_xlfn.CONCAT("94240938681")</f>
        <v>94240938681</v>
      </c>
      <c r="I7" s="5" t="s">
        <v>28</v>
      </c>
      <c r="J7" s="5" t="s">
        <v>29</v>
      </c>
      <c r="K7" s="5" t="str">
        <f>_xlfn.CONCAT("")</f>
        <v/>
      </c>
      <c r="L7" s="5" t="str">
        <f>_xlfn.CONCAT("10 10.1 4a")</f>
        <v>10 10.1 4a</v>
      </c>
      <c r="M7" s="5" t="str">
        <f>_xlfn.CONCAT("CLOGNN66R25B474G")</f>
        <v>CLOGNN66R25B474G</v>
      </c>
      <c r="N7" s="5" t="s">
        <v>51</v>
      </c>
      <c r="O7" s="5" t="s">
        <v>52</v>
      </c>
      <c r="P7" s="6">
        <v>44166</v>
      </c>
      <c r="Q7" s="5" t="s">
        <v>30</v>
      </c>
      <c r="R7" s="5" t="s">
        <v>31</v>
      </c>
      <c r="S7" s="5" t="s">
        <v>32</v>
      </c>
      <c r="T7" s="5"/>
      <c r="U7" s="7">
        <v>1105.8399999999999</v>
      </c>
      <c r="V7" s="5">
        <v>476.84</v>
      </c>
      <c r="W7" s="5">
        <v>440.35</v>
      </c>
      <c r="X7" s="5">
        <v>0</v>
      </c>
      <c r="Y7" s="5">
        <v>188.65</v>
      </c>
    </row>
    <row r="8" spans="1:25" x14ac:dyDescent="0.25">
      <c r="A8" s="5" t="s">
        <v>26</v>
      </c>
      <c r="B8" s="5" t="s">
        <v>37</v>
      </c>
      <c r="C8" s="5" t="s">
        <v>44</v>
      </c>
      <c r="D8" s="5" t="s">
        <v>49</v>
      </c>
      <c r="E8" s="5" t="s">
        <v>35</v>
      </c>
      <c r="F8" s="5" t="s">
        <v>53</v>
      </c>
      <c r="G8" s="5">
        <v>2019</v>
      </c>
      <c r="H8" s="5" t="str">
        <f>_xlfn.CONCAT("94240965221")</f>
        <v>94240965221</v>
      </c>
      <c r="I8" s="5" t="s">
        <v>28</v>
      </c>
      <c r="J8" s="5" t="s">
        <v>29</v>
      </c>
      <c r="K8" s="5" t="str">
        <f>_xlfn.CONCAT("")</f>
        <v/>
      </c>
      <c r="L8" s="5" t="str">
        <f>_xlfn.CONCAT("10 10.1 4a")</f>
        <v>10 10.1 4a</v>
      </c>
      <c r="M8" s="5" t="str">
        <f>_xlfn.CONCAT("GTNNMR50E43C770G")</f>
        <v>GTNNMR50E43C770G</v>
      </c>
      <c r="N8" s="5" t="s">
        <v>54</v>
      </c>
      <c r="O8" s="5" t="s">
        <v>52</v>
      </c>
      <c r="P8" s="6">
        <v>44166</v>
      </c>
      <c r="Q8" s="5" t="s">
        <v>30</v>
      </c>
      <c r="R8" s="5" t="s">
        <v>31</v>
      </c>
      <c r="S8" s="5" t="s">
        <v>32</v>
      </c>
      <c r="T8" s="5"/>
      <c r="U8" s="5">
        <v>671.6</v>
      </c>
      <c r="V8" s="5">
        <v>289.58999999999997</v>
      </c>
      <c r="W8" s="5">
        <v>267.43</v>
      </c>
      <c r="X8" s="5">
        <v>0</v>
      </c>
      <c r="Y8" s="5">
        <v>114.58</v>
      </c>
    </row>
    <row r="9" spans="1:25" ht="24.75" x14ac:dyDescent="0.25">
      <c r="A9" s="5" t="s">
        <v>26</v>
      </c>
      <c r="B9" s="5" t="s">
        <v>37</v>
      </c>
      <c r="C9" s="5" t="s">
        <v>44</v>
      </c>
      <c r="D9" s="5" t="s">
        <v>55</v>
      </c>
      <c r="E9" s="5" t="s">
        <v>34</v>
      </c>
      <c r="F9" s="5" t="s">
        <v>56</v>
      </c>
      <c r="G9" s="5">
        <v>2019</v>
      </c>
      <c r="H9" s="5" t="str">
        <f>_xlfn.CONCAT("94210496504")</f>
        <v>94210496504</v>
      </c>
      <c r="I9" s="5" t="s">
        <v>28</v>
      </c>
      <c r="J9" s="5" t="s">
        <v>29</v>
      </c>
      <c r="K9" s="5" t="str">
        <f>_xlfn.CONCAT("")</f>
        <v/>
      </c>
      <c r="L9" s="5" t="str">
        <f>_xlfn.CONCAT("13 13.1 4a")</f>
        <v>13 13.1 4a</v>
      </c>
      <c r="M9" s="5" t="str">
        <f>_xlfn.CONCAT("LSEFMN35A66D451O")</f>
        <v>LSEFMN35A66D451O</v>
      </c>
      <c r="N9" s="5" t="s">
        <v>57</v>
      </c>
      <c r="O9" s="5" t="s">
        <v>58</v>
      </c>
      <c r="P9" s="6">
        <v>44166</v>
      </c>
      <c r="Q9" s="5" t="s">
        <v>30</v>
      </c>
      <c r="R9" s="5" t="s">
        <v>31</v>
      </c>
      <c r="S9" s="5" t="s">
        <v>32</v>
      </c>
      <c r="T9" s="5"/>
      <c r="U9" s="5">
        <v>520.20000000000005</v>
      </c>
      <c r="V9" s="5">
        <v>224.31</v>
      </c>
      <c r="W9" s="5">
        <v>207.14</v>
      </c>
      <c r="X9" s="5">
        <v>0</v>
      </c>
      <c r="Y9" s="5">
        <v>88.75</v>
      </c>
    </row>
    <row r="10" spans="1:25" ht="24.75" x14ac:dyDescent="0.25">
      <c r="A10" s="5" t="s">
        <v>26</v>
      </c>
      <c r="B10" s="5" t="s">
        <v>37</v>
      </c>
      <c r="C10" s="5" t="s">
        <v>44</v>
      </c>
      <c r="D10" s="5" t="s">
        <v>59</v>
      </c>
      <c r="E10" s="5" t="s">
        <v>34</v>
      </c>
      <c r="F10" s="5" t="s">
        <v>60</v>
      </c>
      <c r="G10" s="5">
        <v>2019</v>
      </c>
      <c r="H10" s="5" t="str">
        <f>_xlfn.CONCAT("94210411685")</f>
        <v>94210411685</v>
      </c>
      <c r="I10" s="5" t="s">
        <v>28</v>
      </c>
      <c r="J10" s="5" t="s">
        <v>29</v>
      </c>
      <c r="K10" s="5" t="str">
        <f>_xlfn.CONCAT("")</f>
        <v/>
      </c>
      <c r="L10" s="5" t="str">
        <f>_xlfn.CONCAT("13 13.1 4a")</f>
        <v>13 13.1 4a</v>
      </c>
      <c r="M10" s="5" t="str">
        <f>_xlfn.CONCAT("01274960416")</f>
        <v>01274960416</v>
      </c>
      <c r="N10" s="5" t="s">
        <v>61</v>
      </c>
      <c r="O10" s="5" t="s">
        <v>58</v>
      </c>
      <c r="P10" s="6">
        <v>44166</v>
      </c>
      <c r="Q10" s="5" t="s">
        <v>30</v>
      </c>
      <c r="R10" s="5" t="s">
        <v>31</v>
      </c>
      <c r="S10" s="5" t="s">
        <v>32</v>
      </c>
      <c r="T10" s="5"/>
      <c r="U10" s="7">
        <v>7986.33</v>
      </c>
      <c r="V10" s="7">
        <v>3443.71</v>
      </c>
      <c r="W10" s="7">
        <v>3180.16</v>
      </c>
      <c r="X10" s="5">
        <v>0</v>
      </c>
      <c r="Y10" s="7">
        <v>1362.46</v>
      </c>
    </row>
    <row r="11" spans="1:25" ht="24.75" x14ac:dyDescent="0.25">
      <c r="A11" s="5" t="s">
        <v>26</v>
      </c>
      <c r="B11" s="5" t="s">
        <v>37</v>
      </c>
      <c r="C11" s="5" t="s">
        <v>44</v>
      </c>
      <c r="D11" s="5" t="s">
        <v>59</v>
      </c>
      <c r="E11" s="5" t="s">
        <v>33</v>
      </c>
      <c r="F11" s="5" t="s">
        <v>62</v>
      </c>
      <c r="G11" s="5">
        <v>2019</v>
      </c>
      <c r="H11" s="5" t="str">
        <f>_xlfn.CONCAT("94211406239")</f>
        <v>94211406239</v>
      </c>
      <c r="I11" s="5" t="s">
        <v>28</v>
      </c>
      <c r="J11" s="5" t="s">
        <v>29</v>
      </c>
      <c r="K11" s="5" t="str">
        <f>_xlfn.CONCAT("")</f>
        <v/>
      </c>
      <c r="L11" s="5" t="str">
        <f>_xlfn.CONCAT("13 13.1 4a")</f>
        <v>13 13.1 4a</v>
      </c>
      <c r="M11" s="5" t="str">
        <f>_xlfn.CONCAT("FSSLRT95H14D488R")</f>
        <v>FSSLRT95H14D488R</v>
      </c>
      <c r="N11" s="5" t="s">
        <v>63</v>
      </c>
      <c r="O11" s="5" t="s">
        <v>58</v>
      </c>
      <c r="P11" s="6">
        <v>44166</v>
      </c>
      <c r="Q11" s="5" t="s">
        <v>30</v>
      </c>
      <c r="R11" s="5" t="s">
        <v>31</v>
      </c>
      <c r="S11" s="5" t="s">
        <v>32</v>
      </c>
      <c r="T11" s="5"/>
      <c r="U11" s="7">
        <v>1978.4</v>
      </c>
      <c r="V11" s="5">
        <v>853.09</v>
      </c>
      <c r="W11" s="5">
        <v>787.8</v>
      </c>
      <c r="X11" s="5">
        <v>0</v>
      </c>
      <c r="Y11" s="5">
        <v>337.51</v>
      </c>
    </row>
    <row r="12" spans="1:25" ht="24.75" x14ac:dyDescent="0.25">
      <c r="A12" s="5" t="s">
        <v>26</v>
      </c>
      <c r="B12" s="5" t="s">
        <v>37</v>
      </c>
      <c r="C12" s="5" t="s">
        <v>44</v>
      </c>
      <c r="D12" s="5" t="s">
        <v>59</v>
      </c>
      <c r="E12" s="5" t="s">
        <v>34</v>
      </c>
      <c r="F12" s="5" t="s">
        <v>64</v>
      </c>
      <c r="G12" s="5">
        <v>2017</v>
      </c>
      <c r="H12" s="5" t="str">
        <f>_xlfn.CONCAT("74210276635")</f>
        <v>74210276635</v>
      </c>
      <c r="I12" s="5" t="s">
        <v>40</v>
      </c>
      <c r="J12" s="5" t="s">
        <v>29</v>
      </c>
      <c r="K12" s="5" t="str">
        <f>_xlfn.CONCAT("")</f>
        <v/>
      </c>
      <c r="L12" s="5" t="str">
        <f>_xlfn.CONCAT("13 13.1 4a")</f>
        <v>13 13.1 4a</v>
      </c>
      <c r="M12" s="5" t="str">
        <f>_xlfn.CONCAT("CNCGFR65A25D541L")</f>
        <v>CNCGFR65A25D541L</v>
      </c>
      <c r="N12" s="5" t="s">
        <v>65</v>
      </c>
      <c r="O12" s="5" t="s">
        <v>58</v>
      </c>
      <c r="P12" s="6">
        <v>44166</v>
      </c>
      <c r="Q12" s="5" t="s">
        <v>30</v>
      </c>
      <c r="R12" s="5" t="s">
        <v>31</v>
      </c>
      <c r="S12" s="5" t="s">
        <v>32</v>
      </c>
      <c r="T12" s="5"/>
      <c r="U12" s="7">
        <v>1213.43</v>
      </c>
      <c r="V12" s="5">
        <v>523.23</v>
      </c>
      <c r="W12" s="5">
        <v>483.19</v>
      </c>
      <c r="X12" s="5">
        <v>0</v>
      </c>
      <c r="Y12" s="5">
        <v>207.01</v>
      </c>
    </row>
    <row r="13" spans="1:25" ht="24.75" x14ac:dyDescent="0.25">
      <c r="A13" s="5" t="s">
        <v>26</v>
      </c>
      <c r="B13" s="5" t="s">
        <v>37</v>
      </c>
      <c r="C13" s="5" t="s">
        <v>44</v>
      </c>
      <c r="D13" s="5" t="s">
        <v>59</v>
      </c>
      <c r="E13" s="5" t="s">
        <v>34</v>
      </c>
      <c r="F13" s="5" t="s">
        <v>66</v>
      </c>
      <c r="G13" s="5">
        <v>2018</v>
      </c>
      <c r="H13" s="5" t="str">
        <f>_xlfn.CONCAT("84210162578")</f>
        <v>84210162578</v>
      </c>
      <c r="I13" s="5" t="s">
        <v>40</v>
      </c>
      <c r="J13" s="5" t="s">
        <v>29</v>
      </c>
      <c r="K13" s="5" t="str">
        <f>_xlfn.CONCAT("")</f>
        <v/>
      </c>
      <c r="L13" s="5" t="str">
        <f>_xlfn.CONCAT("13 13.1 4a")</f>
        <v>13 13.1 4a</v>
      </c>
      <c r="M13" s="5" t="str">
        <f>_xlfn.CONCAT("CRBRLL40M69G453F")</f>
        <v>CRBRLL40M69G453F</v>
      </c>
      <c r="N13" s="5" t="s">
        <v>67</v>
      </c>
      <c r="O13" s="5" t="s">
        <v>58</v>
      </c>
      <c r="P13" s="6">
        <v>44166</v>
      </c>
      <c r="Q13" s="5" t="s">
        <v>30</v>
      </c>
      <c r="R13" s="5" t="s">
        <v>31</v>
      </c>
      <c r="S13" s="5" t="s">
        <v>32</v>
      </c>
      <c r="T13" s="5"/>
      <c r="U13" s="7">
        <v>4533.74</v>
      </c>
      <c r="V13" s="7">
        <v>1954.95</v>
      </c>
      <c r="W13" s="7">
        <v>1805.34</v>
      </c>
      <c r="X13" s="5">
        <v>0</v>
      </c>
      <c r="Y13" s="5">
        <v>773.45</v>
      </c>
    </row>
    <row r="14" spans="1:25" ht="24.75" x14ac:dyDescent="0.25">
      <c r="A14" s="5" t="s">
        <v>26</v>
      </c>
      <c r="B14" s="5" t="s">
        <v>37</v>
      </c>
      <c r="C14" s="5" t="s">
        <v>44</v>
      </c>
      <c r="D14" s="5" t="s">
        <v>59</v>
      </c>
      <c r="E14" s="5" t="s">
        <v>36</v>
      </c>
      <c r="F14" s="5" t="s">
        <v>68</v>
      </c>
      <c r="G14" s="5">
        <v>2017</v>
      </c>
      <c r="H14" s="5" t="str">
        <f>_xlfn.CONCAT("74211045542")</f>
        <v>74211045542</v>
      </c>
      <c r="I14" s="5" t="s">
        <v>28</v>
      </c>
      <c r="J14" s="5" t="s">
        <v>29</v>
      </c>
      <c r="K14" s="5" t="str">
        <f>_xlfn.CONCAT("")</f>
        <v/>
      </c>
      <c r="L14" s="5" t="str">
        <f>_xlfn.CONCAT("13 13.1 4a")</f>
        <v>13 13.1 4a</v>
      </c>
      <c r="M14" s="5" t="str">
        <f>_xlfn.CONCAT("DMNRNZ45H17E785K")</f>
        <v>DMNRNZ45H17E785K</v>
      </c>
      <c r="N14" s="5" t="s">
        <v>69</v>
      </c>
      <c r="O14" s="5" t="s">
        <v>58</v>
      </c>
      <c r="P14" s="6">
        <v>44166</v>
      </c>
      <c r="Q14" s="5" t="s">
        <v>30</v>
      </c>
      <c r="R14" s="5" t="s">
        <v>31</v>
      </c>
      <c r="S14" s="5" t="s">
        <v>32</v>
      </c>
      <c r="T14" s="5"/>
      <c r="U14" s="5">
        <v>9.19</v>
      </c>
      <c r="V14" s="5">
        <v>3.96</v>
      </c>
      <c r="W14" s="5">
        <v>3.66</v>
      </c>
      <c r="X14" s="5">
        <v>0</v>
      </c>
      <c r="Y14" s="5">
        <v>1.57</v>
      </c>
    </row>
    <row r="15" spans="1:25" ht="24.75" x14ac:dyDescent="0.25">
      <c r="A15" s="5" t="s">
        <v>26</v>
      </c>
      <c r="B15" s="5" t="s">
        <v>37</v>
      </c>
      <c r="C15" s="5" t="s">
        <v>44</v>
      </c>
      <c r="D15" s="5" t="s">
        <v>55</v>
      </c>
      <c r="E15" s="5" t="s">
        <v>34</v>
      </c>
      <c r="F15" s="5" t="s">
        <v>70</v>
      </c>
      <c r="G15" s="5">
        <v>2019</v>
      </c>
      <c r="H15" s="5" t="str">
        <f>_xlfn.CONCAT("94241693475")</f>
        <v>94241693475</v>
      </c>
      <c r="I15" s="5" t="s">
        <v>28</v>
      </c>
      <c r="J15" s="5" t="s">
        <v>29</v>
      </c>
      <c r="K15" s="5" t="str">
        <f>_xlfn.CONCAT("")</f>
        <v/>
      </c>
      <c r="L15" s="5" t="str">
        <f>_xlfn.CONCAT("10 10.1 4a")</f>
        <v>10 10.1 4a</v>
      </c>
      <c r="M15" s="5" t="str">
        <f>_xlfn.CONCAT("BRTGCM73S14E388E")</f>
        <v>BRTGCM73S14E388E</v>
      </c>
      <c r="N15" s="5" t="s">
        <v>71</v>
      </c>
      <c r="O15" s="5" t="s">
        <v>72</v>
      </c>
      <c r="P15" s="6">
        <v>44166</v>
      </c>
      <c r="Q15" s="5" t="s">
        <v>30</v>
      </c>
      <c r="R15" s="5" t="s">
        <v>31</v>
      </c>
      <c r="S15" s="5" t="s">
        <v>32</v>
      </c>
      <c r="T15" s="5"/>
      <c r="U15" s="5">
        <v>399.02</v>
      </c>
      <c r="V15" s="5">
        <v>172.06</v>
      </c>
      <c r="W15" s="5">
        <v>158.88999999999999</v>
      </c>
      <c r="X15" s="5">
        <v>0</v>
      </c>
      <c r="Y15" s="5">
        <v>68.069999999999993</v>
      </c>
    </row>
    <row r="16" spans="1:25" ht="24.75" x14ac:dyDescent="0.25">
      <c r="A16" s="5" t="s">
        <v>26</v>
      </c>
      <c r="B16" s="5" t="s">
        <v>37</v>
      </c>
      <c r="C16" s="5" t="s">
        <v>44</v>
      </c>
      <c r="D16" s="5" t="s">
        <v>45</v>
      </c>
      <c r="E16" s="5" t="s">
        <v>34</v>
      </c>
      <c r="F16" s="5" t="s">
        <v>73</v>
      </c>
      <c r="G16" s="5">
        <v>2019</v>
      </c>
      <c r="H16" s="5" t="str">
        <f>_xlfn.CONCAT("94240996945")</f>
        <v>94240996945</v>
      </c>
      <c r="I16" s="5" t="s">
        <v>40</v>
      </c>
      <c r="J16" s="5" t="s">
        <v>29</v>
      </c>
      <c r="K16" s="5" t="str">
        <f>_xlfn.CONCAT("")</f>
        <v/>
      </c>
      <c r="L16" s="5" t="str">
        <f>_xlfn.CONCAT("10 10.1 4a")</f>
        <v>10 10.1 4a</v>
      </c>
      <c r="M16" s="5" t="str">
        <f>_xlfn.CONCAT("GLLSFN78C14A462E")</f>
        <v>GLLSFN78C14A462E</v>
      </c>
      <c r="N16" s="5" t="s">
        <v>74</v>
      </c>
      <c r="O16" s="5" t="s">
        <v>72</v>
      </c>
      <c r="P16" s="6">
        <v>44166</v>
      </c>
      <c r="Q16" s="5" t="s">
        <v>30</v>
      </c>
      <c r="R16" s="5" t="s">
        <v>31</v>
      </c>
      <c r="S16" s="5" t="s">
        <v>32</v>
      </c>
      <c r="T16" s="5"/>
      <c r="U16" s="5">
        <v>554.59</v>
      </c>
      <c r="V16" s="5">
        <v>239.14</v>
      </c>
      <c r="W16" s="5">
        <v>220.84</v>
      </c>
      <c r="X16" s="5">
        <v>0</v>
      </c>
      <c r="Y16" s="5">
        <v>94.61</v>
      </c>
    </row>
    <row r="17" spans="1:25" x14ac:dyDescent="0.25">
      <c r="A17" s="5" t="s">
        <v>26</v>
      </c>
      <c r="B17" s="5" t="s">
        <v>37</v>
      </c>
      <c r="C17" s="5" t="s">
        <v>44</v>
      </c>
      <c r="D17" s="5" t="s">
        <v>49</v>
      </c>
      <c r="E17" s="5" t="s">
        <v>34</v>
      </c>
      <c r="F17" s="5" t="s">
        <v>75</v>
      </c>
      <c r="G17" s="5">
        <v>2018</v>
      </c>
      <c r="H17" s="5" t="str">
        <f>_xlfn.CONCAT("84240529770")</f>
        <v>84240529770</v>
      </c>
      <c r="I17" s="5" t="s">
        <v>28</v>
      </c>
      <c r="J17" s="5" t="s">
        <v>29</v>
      </c>
      <c r="K17" s="5" t="str">
        <f>_xlfn.CONCAT("")</f>
        <v/>
      </c>
      <c r="L17" s="5" t="str">
        <f>_xlfn.CONCAT("10 10.1 4a")</f>
        <v>10 10.1 4a</v>
      </c>
      <c r="M17" s="5" t="str">
        <f>_xlfn.CONCAT("GSTSFN88A15E783N")</f>
        <v>GSTSFN88A15E783N</v>
      </c>
      <c r="N17" s="5" t="s">
        <v>76</v>
      </c>
      <c r="O17" s="5" t="s">
        <v>72</v>
      </c>
      <c r="P17" s="6">
        <v>44166</v>
      </c>
      <c r="Q17" s="5" t="s">
        <v>30</v>
      </c>
      <c r="R17" s="5" t="s">
        <v>31</v>
      </c>
      <c r="S17" s="5" t="s">
        <v>32</v>
      </c>
      <c r="T17" s="5"/>
      <c r="U17" s="5">
        <v>95.76</v>
      </c>
      <c r="V17" s="5">
        <v>41.29</v>
      </c>
      <c r="W17" s="5">
        <v>38.130000000000003</v>
      </c>
      <c r="X17" s="5">
        <v>0</v>
      </c>
      <c r="Y17" s="5">
        <v>16.34</v>
      </c>
    </row>
    <row r="18" spans="1:25" ht="24.75" x14ac:dyDescent="0.25">
      <c r="A18" s="5" t="s">
        <v>26</v>
      </c>
      <c r="B18" s="5" t="s">
        <v>37</v>
      </c>
      <c r="C18" s="5" t="s">
        <v>44</v>
      </c>
      <c r="D18" s="5" t="s">
        <v>55</v>
      </c>
      <c r="E18" s="5" t="s">
        <v>33</v>
      </c>
      <c r="F18" s="5" t="s">
        <v>77</v>
      </c>
      <c r="G18" s="5">
        <v>2018</v>
      </c>
      <c r="H18" s="5" t="str">
        <f>_xlfn.CONCAT("84240633028")</f>
        <v>84240633028</v>
      </c>
      <c r="I18" s="5" t="s">
        <v>28</v>
      </c>
      <c r="J18" s="5" t="s">
        <v>29</v>
      </c>
      <c r="K18" s="5" t="str">
        <f>_xlfn.CONCAT("")</f>
        <v/>
      </c>
      <c r="L18" s="5" t="str">
        <f>_xlfn.CONCAT("10 10.1 4a")</f>
        <v>10 10.1 4a</v>
      </c>
      <c r="M18" s="5" t="str">
        <f>_xlfn.CONCAT("MRTSNT80P45E388B")</f>
        <v>MRTSNT80P45E388B</v>
      </c>
      <c r="N18" s="5" t="s">
        <v>78</v>
      </c>
      <c r="O18" s="5" t="s">
        <v>72</v>
      </c>
      <c r="P18" s="6">
        <v>44166</v>
      </c>
      <c r="Q18" s="5" t="s">
        <v>30</v>
      </c>
      <c r="R18" s="5" t="s">
        <v>31</v>
      </c>
      <c r="S18" s="5" t="s">
        <v>32</v>
      </c>
      <c r="T18" s="5"/>
      <c r="U18" s="5">
        <v>40.840000000000003</v>
      </c>
      <c r="V18" s="5">
        <v>17.61</v>
      </c>
      <c r="W18" s="5">
        <v>16.260000000000002</v>
      </c>
      <c r="X18" s="5">
        <v>0</v>
      </c>
      <c r="Y18" s="5">
        <v>6.97</v>
      </c>
    </row>
    <row r="19" spans="1:25" ht="24.75" x14ac:dyDescent="0.25">
      <c r="A19" s="5" t="s">
        <v>26</v>
      </c>
      <c r="B19" s="5" t="s">
        <v>37</v>
      </c>
      <c r="C19" s="5" t="s">
        <v>44</v>
      </c>
      <c r="D19" s="5" t="s">
        <v>55</v>
      </c>
      <c r="E19" s="5" t="s">
        <v>33</v>
      </c>
      <c r="F19" s="5" t="s">
        <v>77</v>
      </c>
      <c r="G19" s="5">
        <v>2019</v>
      </c>
      <c r="H19" s="5" t="str">
        <f>_xlfn.CONCAT("94240650575")</f>
        <v>94240650575</v>
      </c>
      <c r="I19" s="5" t="s">
        <v>28</v>
      </c>
      <c r="J19" s="5" t="s">
        <v>29</v>
      </c>
      <c r="K19" s="5" t="str">
        <f>_xlfn.CONCAT("")</f>
        <v/>
      </c>
      <c r="L19" s="5" t="str">
        <f>_xlfn.CONCAT("10 10.1 4a")</f>
        <v>10 10.1 4a</v>
      </c>
      <c r="M19" s="5" t="str">
        <f>_xlfn.CONCAT("MRTSNT80P45E388B")</f>
        <v>MRTSNT80P45E388B</v>
      </c>
      <c r="N19" s="5" t="s">
        <v>78</v>
      </c>
      <c r="O19" s="5" t="s">
        <v>72</v>
      </c>
      <c r="P19" s="6">
        <v>44166</v>
      </c>
      <c r="Q19" s="5" t="s">
        <v>30</v>
      </c>
      <c r="R19" s="5" t="s">
        <v>31</v>
      </c>
      <c r="S19" s="5" t="s">
        <v>32</v>
      </c>
      <c r="T19" s="5"/>
      <c r="U19" s="5">
        <v>40.840000000000003</v>
      </c>
      <c r="V19" s="5">
        <v>17.61</v>
      </c>
      <c r="W19" s="5">
        <v>16.260000000000002</v>
      </c>
      <c r="X19" s="5">
        <v>0</v>
      </c>
      <c r="Y19" s="5">
        <v>6.97</v>
      </c>
    </row>
    <row r="20" spans="1:25" x14ac:dyDescent="0.25">
      <c r="A20" s="5" t="s">
        <v>26</v>
      </c>
      <c r="B20" s="5" t="s">
        <v>37</v>
      </c>
      <c r="C20" s="5" t="s">
        <v>44</v>
      </c>
      <c r="D20" s="5" t="s">
        <v>49</v>
      </c>
      <c r="E20" s="5" t="s">
        <v>34</v>
      </c>
      <c r="F20" s="5" t="s">
        <v>79</v>
      </c>
      <c r="G20" s="5">
        <v>2018</v>
      </c>
      <c r="H20" s="5" t="str">
        <f>_xlfn.CONCAT("84240327381")</f>
        <v>84240327381</v>
      </c>
      <c r="I20" s="5" t="s">
        <v>28</v>
      </c>
      <c r="J20" s="5" t="s">
        <v>29</v>
      </c>
      <c r="K20" s="5" t="str">
        <f>_xlfn.CONCAT("")</f>
        <v/>
      </c>
      <c r="L20" s="5" t="str">
        <f>_xlfn.CONCAT("10 10.1 4a")</f>
        <v>10 10.1 4a</v>
      </c>
      <c r="M20" s="5" t="str">
        <f>_xlfn.CONCAT("GSTGNN34H23F552V")</f>
        <v>GSTGNN34H23F552V</v>
      </c>
      <c r="N20" s="5" t="s">
        <v>80</v>
      </c>
      <c r="O20" s="5" t="s">
        <v>72</v>
      </c>
      <c r="P20" s="6">
        <v>44166</v>
      </c>
      <c r="Q20" s="5" t="s">
        <v>30</v>
      </c>
      <c r="R20" s="5" t="s">
        <v>31</v>
      </c>
      <c r="S20" s="5" t="s">
        <v>32</v>
      </c>
      <c r="T20" s="5"/>
      <c r="U20" s="5">
        <v>940.14</v>
      </c>
      <c r="V20" s="5">
        <v>405.39</v>
      </c>
      <c r="W20" s="5">
        <v>374.36</v>
      </c>
      <c r="X20" s="5">
        <v>0</v>
      </c>
      <c r="Y20" s="5">
        <v>160.38999999999999</v>
      </c>
    </row>
    <row r="21" spans="1:25" ht="24.75" x14ac:dyDescent="0.25">
      <c r="A21" s="5" t="s">
        <v>26</v>
      </c>
      <c r="B21" s="5" t="s">
        <v>37</v>
      </c>
      <c r="C21" s="5" t="s">
        <v>44</v>
      </c>
      <c r="D21" s="5" t="s">
        <v>55</v>
      </c>
      <c r="E21" s="5" t="s">
        <v>33</v>
      </c>
      <c r="F21" s="5" t="s">
        <v>77</v>
      </c>
      <c r="G21" s="5">
        <v>2019</v>
      </c>
      <c r="H21" s="5" t="str">
        <f>_xlfn.CONCAT("94240008626")</f>
        <v>94240008626</v>
      </c>
      <c r="I21" s="5" t="s">
        <v>28</v>
      </c>
      <c r="J21" s="5" t="s">
        <v>29</v>
      </c>
      <c r="K21" s="5" t="str">
        <f>_xlfn.CONCAT("")</f>
        <v/>
      </c>
      <c r="L21" s="5" t="str">
        <f>_xlfn.CONCAT("10 10.1 4a")</f>
        <v>10 10.1 4a</v>
      </c>
      <c r="M21" s="5" t="str">
        <f>_xlfn.CONCAT("CNDCRL63E17F634T")</f>
        <v>CNDCRL63E17F634T</v>
      </c>
      <c r="N21" s="5" t="s">
        <v>81</v>
      </c>
      <c r="O21" s="5" t="s">
        <v>72</v>
      </c>
      <c r="P21" s="6">
        <v>44166</v>
      </c>
      <c r="Q21" s="5" t="s">
        <v>30</v>
      </c>
      <c r="R21" s="5" t="s">
        <v>31</v>
      </c>
      <c r="S21" s="5" t="s">
        <v>32</v>
      </c>
      <c r="T21" s="5"/>
      <c r="U21" s="5">
        <v>223.71</v>
      </c>
      <c r="V21" s="5">
        <v>96.46</v>
      </c>
      <c r="W21" s="5">
        <v>89.08</v>
      </c>
      <c r="X21" s="5">
        <v>0</v>
      </c>
      <c r="Y21" s="5">
        <v>38.17</v>
      </c>
    </row>
    <row r="22" spans="1:25" ht="24.75" x14ac:dyDescent="0.25">
      <c r="A22" s="5" t="s">
        <v>26</v>
      </c>
      <c r="B22" s="5" t="s">
        <v>37</v>
      </c>
      <c r="C22" s="5" t="s">
        <v>44</v>
      </c>
      <c r="D22" s="5" t="s">
        <v>59</v>
      </c>
      <c r="E22" s="5" t="s">
        <v>34</v>
      </c>
      <c r="F22" s="5" t="s">
        <v>66</v>
      </c>
      <c r="G22" s="5">
        <v>2016</v>
      </c>
      <c r="H22" s="5" t="str">
        <f>_xlfn.CONCAT("64770394969")</f>
        <v>64770394969</v>
      </c>
      <c r="I22" s="5" t="s">
        <v>28</v>
      </c>
      <c r="J22" s="5" t="s">
        <v>42</v>
      </c>
      <c r="K22" s="5" t="str">
        <f>_xlfn.CONCAT("214")</f>
        <v>214</v>
      </c>
      <c r="L22" s="5" t="str">
        <f>_xlfn.CONCAT("11 11.1 4b")</f>
        <v>11 11.1 4b</v>
      </c>
      <c r="M22" s="5" t="str">
        <f>_xlfn.CONCAT("TNLSFN79T26L500B")</f>
        <v>TNLSFN79T26L500B</v>
      </c>
      <c r="N22" s="5" t="s">
        <v>82</v>
      </c>
      <c r="O22" s="5" t="s">
        <v>83</v>
      </c>
      <c r="P22" s="6">
        <v>44166</v>
      </c>
      <c r="Q22" s="5" t="s">
        <v>30</v>
      </c>
      <c r="R22" s="5" t="s">
        <v>31</v>
      </c>
      <c r="S22" s="5" t="s">
        <v>32</v>
      </c>
      <c r="T22" s="5"/>
      <c r="U22" s="7">
        <v>18489.310000000001</v>
      </c>
      <c r="V22" s="7">
        <v>7972.59</v>
      </c>
      <c r="W22" s="7">
        <v>7362.44</v>
      </c>
      <c r="X22" s="5">
        <v>0</v>
      </c>
      <c r="Y22" s="7">
        <v>3154.28</v>
      </c>
    </row>
    <row r="23" spans="1:25" ht="24.75" x14ac:dyDescent="0.25">
      <c r="A23" s="5" t="s">
        <v>26</v>
      </c>
      <c r="B23" s="5" t="s">
        <v>37</v>
      </c>
      <c r="C23" s="5" t="s">
        <v>44</v>
      </c>
      <c r="D23" s="5" t="s">
        <v>59</v>
      </c>
      <c r="E23" s="5" t="s">
        <v>35</v>
      </c>
      <c r="F23" s="5" t="s">
        <v>84</v>
      </c>
      <c r="G23" s="5">
        <v>2017</v>
      </c>
      <c r="H23" s="5" t="str">
        <f>_xlfn.CONCAT("74210517228")</f>
        <v>74210517228</v>
      </c>
      <c r="I23" s="5" t="s">
        <v>28</v>
      </c>
      <c r="J23" s="5" t="s">
        <v>29</v>
      </c>
      <c r="K23" s="5" t="str">
        <f>_xlfn.CONCAT("")</f>
        <v/>
      </c>
      <c r="L23" s="5" t="str">
        <f>_xlfn.CONCAT("13 13.1 4a")</f>
        <v>13 13.1 4a</v>
      </c>
      <c r="M23" s="5" t="str">
        <f>_xlfn.CONCAT("BLCFRZ67C28H274A")</f>
        <v>BLCFRZ67C28H274A</v>
      </c>
      <c r="N23" s="5" t="s">
        <v>85</v>
      </c>
      <c r="O23" s="5" t="s">
        <v>58</v>
      </c>
      <c r="P23" s="6">
        <v>44166</v>
      </c>
      <c r="Q23" s="5" t="s">
        <v>30</v>
      </c>
      <c r="R23" s="5" t="s">
        <v>31</v>
      </c>
      <c r="S23" s="5" t="s">
        <v>32</v>
      </c>
      <c r="T23" s="5"/>
      <c r="U23" s="5">
        <v>763.8</v>
      </c>
      <c r="V23" s="5">
        <v>329.35</v>
      </c>
      <c r="W23" s="5">
        <v>304.14999999999998</v>
      </c>
      <c r="X23" s="5">
        <v>0</v>
      </c>
      <c r="Y23" s="5">
        <v>130.30000000000001</v>
      </c>
    </row>
    <row r="24" spans="1:25" x14ac:dyDescent="0.25">
      <c r="A24" s="5" t="s">
        <v>26</v>
      </c>
      <c r="B24" s="5" t="s">
        <v>37</v>
      </c>
      <c r="C24" s="5" t="s">
        <v>44</v>
      </c>
      <c r="D24" s="5" t="s">
        <v>49</v>
      </c>
      <c r="E24" s="5" t="s">
        <v>41</v>
      </c>
      <c r="F24" s="5" t="s">
        <v>86</v>
      </c>
      <c r="G24" s="5">
        <v>2020</v>
      </c>
      <c r="H24" s="5" t="str">
        <f>_xlfn.CONCAT("04210473056")</f>
        <v>04210473056</v>
      </c>
      <c r="I24" s="5" t="s">
        <v>28</v>
      </c>
      <c r="J24" s="5" t="s">
        <v>29</v>
      </c>
      <c r="K24" s="5" t="str">
        <f>_xlfn.CONCAT("")</f>
        <v/>
      </c>
      <c r="L24" s="5" t="str">
        <f>_xlfn.CONCAT("13 13.1 4a")</f>
        <v>13 13.1 4a</v>
      </c>
      <c r="M24" s="5" t="str">
        <f>_xlfn.CONCAT("MNNPIA50E59F268M")</f>
        <v>MNNPIA50E59F268M</v>
      </c>
      <c r="N24" s="5" t="s">
        <v>87</v>
      </c>
      <c r="O24" s="5" t="s">
        <v>58</v>
      </c>
      <c r="P24" s="6">
        <v>44166</v>
      </c>
      <c r="Q24" s="5" t="s">
        <v>30</v>
      </c>
      <c r="R24" s="5" t="s">
        <v>31</v>
      </c>
      <c r="S24" s="5" t="s">
        <v>32</v>
      </c>
      <c r="T24" s="5"/>
      <c r="U24" s="7">
        <v>9000</v>
      </c>
      <c r="V24" s="7">
        <v>3880.8</v>
      </c>
      <c r="W24" s="7">
        <v>3583.8</v>
      </c>
      <c r="X24" s="5">
        <v>0</v>
      </c>
      <c r="Y24" s="7">
        <v>1535.4</v>
      </c>
    </row>
    <row r="25" spans="1:25" ht="24.75" x14ac:dyDescent="0.25">
      <c r="A25" s="5" t="s">
        <v>26</v>
      </c>
      <c r="B25" s="5" t="s">
        <v>37</v>
      </c>
      <c r="C25" s="5" t="s">
        <v>44</v>
      </c>
      <c r="D25" s="5" t="s">
        <v>59</v>
      </c>
      <c r="E25" s="5" t="s">
        <v>36</v>
      </c>
      <c r="F25" s="5" t="s">
        <v>68</v>
      </c>
      <c r="G25" s="5">
        <v>2019</v>
      </c>
      <c r="H25" s="5" t="str">
        <f>_xlfn.CONCAT("94210786797")</f>
        <v>94210786797</v>
      </c>
      <c r="I25" s="5" t="s">
        <v>28</v>
      </c>
      <c r="J25" s="5" t="s">
        <v>29</v>
      </c>
      <c r="K25" s="5" t="str">
        <f>_xlfn.CONCAT("")</f>
        <v/>
      </c>
      <c r="L25" s="5" t="str">
        <f>_xlfn.CONCAT("13 13.1 4a")</f>
        <v>13 13.1 4a</v>
      </c>
      <c r="M25" s="5" t="str">
        <f>_xlfn.CONCAT("DMNRRT61M22I459L")</f>
        <v>DMNRRT61M22I459L</v>
      </c>
      <c r="N25" s="5" t="s">
        <v>88</v>
      </c>
      <c r="O25" s="5" t="s">
        <v>58</v>
      </c>
      <c r="P25" s="6">
        <v>44166</v>
      </c>
      <c r="Q25" s="5" t="s">
        <v>30</v>
      </c>
      <c r="R25" s="5" t="s">
        <v>31</v>
      </c>
      <c r="S25" s="5" t="s">
        <v>32</v>
      </c>
      <c r="T25" s="5"/>
      <c r="U25" s="7">
        <v>4746.3599999999997</v>
      </c>
      <c r="V25" s="7">
        <v>2046.63</v>
      </c>
      <c r="W25" s="7">
        <v>1890</v>
      </c>
      <c r="X25" s="5">
        <v>0</v>
      </c>
      <c r="Y25" s="5">
        <v>809.73</v>
      </c>
    </row>
    <row r="26" spans="1:25" x14ac:dyDescent="0.25">
      <c r="A26" s="5" t="s">
        <v>26</v>
      </c>
      <c r="B26" s="5" t="s">
        <v>37</v>
      </c>
      <c r="C26" s="5" t="s">
        <v>44</v>
      </c>
      <c r="D26" s="5" t="s">
        <v>49</v>
      </c>
      <c r="E26" s="5" t="s">
        <v>41</v>
      </c>
      <c r="F26" s="5" t="s">
        <v>86</v>
      </c>
      <c r="G26" s="5">
        <v>2020</v>
      </c>
      <c r="H26" s="5" t="str">
        <f>_xlfn.CONCAT("04210538106")</f>
        <v>04210538106</v>
      </c>
      <c r="I26" s="5" t="s">
        <v>28</v>
      </c>
      <c r="J26" s="5" t="s">
        <v>29</v>
      </c>
      <c r="K26" s="5" t="str">
        <f>_xlfn.CONCAT("")</f>
        <v/>
      </c>
      <c r="L26" s="5" t="str">
        <f>_xlfn.CONCAT("13 13.1 4a")</f>
        <v>13 13.1 4a</v>
      </c>
      <c r="M26" s="5" t="str">
        <f>_xlfn.CONCAT("GRNCRD73E01I156S")</f>
        <v>GRNCRD73E01I156S</v>
      </c>
      <c r="N26" s="5" t="s">
        <v>89</v>
      </c>
      <c r="O26" s="5" t="s">
        <v>58</v>
      </c>
      <c r="P26" s="6">
        <v>44166</v>
      </c>
      <c r="Q26" s="5" t="s">
        <v>30</v>
      </c>
      <c r="R26" s="5" t="s">
        <v>31</v>
      </c>
      <c r="S26" s="5" t="s">
        <v>32</v>
      </c>
      <c r="T26" s="5"/>
      <c r="U26" s="7">
        <v>8141.74</v>
      </c>
      <c r="V26" s="7">
        <v>3510.72</v>
      </c>
      <c r="W26" s="7">
        <v>3242.04</v>
      </c>
      <c r="X26" s="5">
        <v>0</v>
      </c>
      <c r="Y26" s="7">
        <v>1388.98</v>
      </c>
    </row>
    <row r="27" spans="1:25" ht="24.75" x14ac:dyDescent="0.25">
      <c r="A27" s="5" t="s">
        <v>26</v>
      </c>
      <c r="B27" s="5" t="s">
        <v>37</v>
      </c>
      <c r="C27" s="5" t="s">
        <v>44</v>
      </c>
      <c r="D27" s="5" t="s">
        <v>59</v>
      </c>
      <c r="E27" s="5" t="s">
        <v>34</v>
      </c>
      <c r="F27" s="5" t="s">
        <v>60</v>
      </c>
      <c r="G27" s="5">
        <v>2019</v>
      </c>
      <c r="H27" s="5" t="str">
        <f>_xlfn.CONCAT("94210194554")</f>
        <v>94210194554</v>
      </c>
      <c r="I27" s="5" t="s">
        <v>40</v>
      </c>
      <c r="J27" s="5" t="s">
        <v>29</v>
      </c>
      <c r="K27" s="5" t="str">
        <f>_xlfn.CONCAT("")</f>
        <v/>
      </c>
      <c r="L27" s="5" t="str">
        <f>_xlfn.CONCAT("13 13.1 4a")</f>
        <v>13 13.1 4a</v>
      </c>
      <c r="M27" s="5" t="str">
        <f>_xlfn.CONCAT("MTTMRA57T19F524A")</f>
        <v>MTTMRA57T19F524A</v>
      </c>
      <c r="N27" s="5" t="s">
        <v>90</v>
      </c>
      <c r="O27" s="5" t="s">
        <v>58</v>
      </c>
      <c r="P27" s="6">
        <v>44166</v>
      </c>
      <c r="Q27" s="5" t="s">
        <v>30</v>
      </c>
      <c r="R27" s="5" t="s">
        <v>31</v>
      </c>
      <c r="S27" s="5" t="s">
        <v>32</v>
      </c>
      <c r="T27" s="5"/>
      <c r="U27" s="7">
        <v>1350</v>
      </c>
      <c r="V27" s="5">
        <v>582.12</v>
      </c>
      <c r="W27" s="5">
        <v>537.57000000000005</v>
      </c>
      <c r="X27" s="5">
        <v>0</v>
      </c>
      <c r="Y27" s="5">
        <v>230.31</v>
      </c>
    </row>
    <row r="28" spans="1:25" ht="24.75" x14ac:dyDescent="0.25">
      <c r="A28" s="5" t="s">
        <v>26</v>
      </c>
      <c r="B28" s="5" t="s">
        <v>37</v>
      </c>
      <c r="C28" s="5" t="s">
        <v>44</v>
      </c>
      <c r="D28" s="5" t="s">
        <v>55</v>
      </c>
      <c r="E28" s="5" t="s">
        <v>34</v>
      </c>
      <c r="F28" s="5" t="s">
        <v>56</v>
      </c>
      <c r="G28" s="5">
        <v>2019</v>
      </c>
      <c r="H28" s="5" t="str">
        <f>_xlfn.CONCAT("94210202456")</f>
        <v>94210202456</v>
      </c>
      <c r="I28" s="5" t="s">
        <v>28</v>
      </c>
      <c r="J28" s="5" t="s">
        <v>29</v>
      </c>
      <c r="K28" s="5" t="str">
        <f>_xlfn.CONCAT("")</f>
        <v/>
      </c>
      <c r="L28" s="5" t="str">
        <f>_xlfn.CONCAT("13 13.1 4a")</f>
        <v>13 13.1 4a</v>
      </c>
      <c r="M28" s="5" t="str">
        <f>_xlfn.CONCAT("PCCMHL84C16D451H")</f>
        <v>PCCMHL84C16D451H</v>
      </c>
      <c r="N28" s="5" t="s">
        <v>91</v>
      </c>
      <c r="O28" s="5" t="s">
        <v>58</v>
      </c>
      <c r="P28" s="6">
        <v>44166</v>
      </c>
      <c r="Q28" s="5" t="s">
        <v>30</v>
      </c>
      <c r="R28" s="5" t="s">
        <v>31</v>
      </c>
      <c r="S28" s="5" t="s">
        <v>32</v>
      </c>
      <c r="T28" s="5"/>
      <c r="U28" s="7">
        <v>1909.36</v>
      </c>
      <c r="V28" s="5">
        <v>823.32</v>
      </c>
      <c r="W28" s="5">
        <v>760.31</v>
      </c>
      <c r="X28" s="5">
        <v>0</v>
      </c>
      <c r="Y28" s="5">
        <v>325.73</v>
      </c>
    </row>
    <row r="29" spans="1:25" ht="24.75" x14ac:dyDescent="0.25">
      <c r="A29" s="5" t="s">
        <v>26</v>
      </c>
      <c r="B29" s="5" t="s">
        <v>37</v>
      </c>
      <c r="C29" s="5" t="s">
        <v>44</v>
      </c>
      <c r="D29" s="5" t="s">
        <v>59</v>
      </c>
      <c r="E29" s="5" t="s">
        <v>33</v>
      </c>
      <c r="F29" s="5" t="s">
        <v>92</v>
      </c>
      <c r="G29" s="5">
        <v>2019</v>
      </c>
      <c r="H29" s="5" t="str">
        <f>_xlfn.CONCAT("94211406148")</f>
        <v>94211406148</v>
      </c>
      <c r="I29" s="5" t="s">
        <v>28</v>
      </c>
      <c r="J29" s="5" t="s">
        <v>29</v>
      </c>
      <c r="K29" s="5" t="str">
        <f>_xlfn.CONCAT("")</f>
        <v/>
      </c>
      <c r="L29" s="5" t="str">
        <f>_xlfn.CONCAT("13 13.1 4a")</f>
        <v>13 13.1 4a</v>
      </c>
      <c r="M29" s="5" t="str">
        <f>_xlfn.CONCAT("01057570416")</f>
        <v>01057570416</v>
      </c>
      <c r="N29" s="5" t="s">
        <v>93</v>
      </c>
      <c r="O29" s="5" t="s">
        <v>58</v>
      </c>
      <c r="P29" s="6">
        <v>44166</v>
      </c>
      <c r="Q29" s="5" t="s">
        <v>30</v>
      </c>
      <c r="R29" s="5" t="s">
        <v>31</v>
      </c>
      <c r="S29" s="5" t="s">
        <v>32</v>
      </c>
      <c r="T29" s="5"/>
      <c r="U29" s="7">
        <v>6628.7</v>
      </c>
      <c r="V29" s="7">
        <v>2858.3</v>
      </c>
      <c r="W29" s="7">
        <v>2639.55</v>
      </c>
      <c r="X29" s="5">
        <v>0</v>
      </c>
      <c r="Y29" s="7">
        <v>1130.8499999999999</v>
      </c>
    </row>
    <row r="30" spans="1:25" ht="24.75" x14ac:dyDescent="0.25">
      <c r="A30" s="5" t="s">
        <v>26</v>
      </c>
      <c r="B30" s="5" t="s">
        <v>37</v>
      </c>
      <c r="C30" s="5" t="s">
        <v>44</v>
      </c>
      <c r="D30" s="5" t="s">
        <v>45</v>
      </c>
      <c r="E30" s="5" t="s">
        <v>39</v>
      </c>
      <c r="F30" s="5" t="s">
        <v>94</v>
      </c>
      <c r="G30" s="5">
        <v>2018</v>
      </c>
      <c r="H30" s="5" t="str">
        <f>_xlfn.CONCAT("84240819437")</f>
        <v>84240819437</v>
      </c>
      <c r="I30" s="5" t="s">
        <v>28</v>
      </c>
      <c r="J30" s="5" t="s">
        <v>29</v>
      </c>
      <c r="K30" s="5" t="str">
        <f>_xlfn.CONCAT("")</f>
        <v/>
      </c>
      <c r="L30" s="5" t="str">
        <f>_xlfn.CONCAT("10 10.1 4a")</f>
        <v>10 10.1 4a</v>
      </c>
      <c r="M30" s="5" t="str">
        <f>_xlfn.CONCAT("CCCNLN64S12G005V")</f>
        <v>CCCNLN64S12G005V</v>
      </c>
      <c r="N30" s="5" t="s">
        <v>95</v>
      </c>
      <c r="O30" s="5" t="s">
        <v>72</v>
      </c>
      <c r="P30" s="6">
        <v>44166</v>
      </c>
      <c r="Q30" s="5" t="s">
        <v>30</v>
      </c>
      <c r="R30" s="5" t="s">
        <v>31</v>
      </c>
      <c r="S30" s="5" t="s">
        <v>32</v>
      </c>
      <c r="T30" s="5"/>
      <c r="U30" s="5">
        <v>178.52</v>
      </c>
      <c r="V30" s="5">
        <v>76.98</v>
      </c>
      <c r="W30" s="5">
        <v>71.09</v>
      </c>
      <c r="X30" s="5">
        <v>0</v>
      </c>
      <c r="Y30" s="5">
        <v>30.45</v>
      </c>
    </row>
    <row r="31" spans="1:25" ht="24.75" x14ac:dyDescent="0.25">
      <c r="A31" s="5" t="s">
        <v>26</v>
      </c>
      <c r="B31" s="5" t="s">
        <v>37</v>
      </c>
      <c r="C31" s="5" t="s">
        <v>44</v>
      </c>
      <c r="D31" s="5" t="s">
        <v>45</v>
      </c>
      <c r="E31" s="5" t="s">
        <v>39</v>
      </c>
      <c r="F31" s="5" t="s">
        <v>94</v>
      </c>
      <c r="G31" s="5">
        <v>2019</v>
      </c>
      <c r="H31" s="5" t="str">
        <f>_xlfn.CONCAT("94240039498")</f>
        <v>94240039498</v>
      </c>
      <c r="I31" s="5" t="s">
        <v>28</v>
      </c>
      <c r="J31" s="5" t="s">
        <v>29</v>
      </c>
      <c r="K31" s="5" t="str">
        <f>_xlfn.CONCAT("")</f>
        <v/>
      </c>
      <c r="L31" s="5" t="str">
        <f>_xlfn.CONCAT("10 10.1 4a")</f>
        <v>10 10.1 4a</v>
      </c>
      <c r="M31" s="5" t="str">
        <f>_xlfn.CONCAT("CCCNLN64S12G005V")</f>
        <v>CCCNLN64S12G005V</v>
      </c>
      <c r="N31" s="5" t="s">
        <v>95</v>
      </c>
      <c r="O31" s="5" t="s">
        <v>72</v>
      </c>
      <c r="P31" s="6">
        <v>44166</v>
      </c>
      <c r="Q31" s="5" t="s">
        <v>30</v>
      </c>
      <c r="R31" s="5" t="s">
        <v>31</v>
      </c>
      <c r="S31" s="5" t="s">
        <v>32</v>
      </c>
      <c r="T31" s="5"/>
      <c r="U31" s="5">
        <v>178.52</v>
      </c>
      <c r="V31" s="5">
        <v>76.98</v>
      </c>
      <c r="W31" s="5">
        <v>71.09</v>
      </c>
      <c r="X31" s="5">
        <v>0</v>
      </c>
      <c r="Y31" s="5">
        <v>30.45</v>
      </c>
    </row>
    <row r="32" spans="1:25" ht="24.75" x14ac:dyDescent="0.25">
      <c r="A32" s="5" t="s">
        <v>26</v>
      </c>
      <c r="B32" s="5" t="s">
        <v>37</v>
      </c>
      <c r="C32" s="5" t="s">
        <v>44</v>
      </c>
      <c r="D32" s="5" t="s">
        <v>45</v>
      </c>
      <c r="E32" s="5" t="s">
        <v>36</v>
      </c>
      <c r="F32" s="5" t="s">
        <v>96</v>
      </c>
      <c r="G32" s="5">
        <v>2018</v>
      </c>
      <c r="H32" s="5" t="str">
        <f>_xlfn.CONCAT("84240864037")</f>
        <v>84240864037</v>
      </c>
      <c r="I32" s="5" t="s">
        <v>28</v>
      </c>
      <c r="J32" s="5" t="s">
        <v>29</v>
      </c>
      <c r="K32" s="5" t="str">
        <f>_xlfn.CONCAT("")</f>
        <v/>
      </c>
      <c r="L32" s="5" t="str">
        <f>_xlfn.CONCAT("10 10.1 4a")</f>
        <v>10 10.1 4a</v>
      </c>
      <c r="M32" s="5" t="str">
        <f>_xlfn.CONCAT("DSNNGL56A16F570Q")</f>
        <v>DSNNGL56A16F570Q</v>
      </c>
      <c r="N32" s="5" t="s">
        <v>97</v>
      </c>
      <c r="O32" s="5" t="s">
        <v>72</v>
      </c>
      <c r="P32" s="6">
        <v>44166</v>
      </c>
      <c r="Q32" s="5" t="s">
        <v>30</v>
      </c>
      <c r="R32" s="5" t="s">
        <v>31</v>
      </c>
      <c r="S32" s="5" t="s">
        <v>32</v>
      </c>
      <c r="T32" s="5"/>
      <c r="U32" s="5">
        <v>400</v>
      </c>
      <c r="V32" s="5">
        <v>172.48</v>
      </c>
      <c r="W32" s="5">
        <v>159.28</v>
      </c>
      <c r="X32" s="5">
        <v>0</v>
      </c>
      <c r="Y32" s="5">
        <v>68.239999999999995</v>
      </c>
    </row>
    <row r="33" spans="1:25" x14ac:dyDescent="0.25">
      <c r="A33" s="5" t="s">
        <v>26</v>
      </c>
      <c r="B33" s="5" t="s">
        <v>37</v>
      </c>
      <c r="C33" s="5" t="s">
        <v>44</v>
      </c>
      <c r="D33" s="5" t="s">
        <v>49</v>
      </c>
      <c r="E33" s="5" t="s">
        <v>34</v>
      </c>
      <c r="F33" s="5" t="s">
        <v>79</v>
      </c>
      <c r="G33" s="5">
        <v>2018</v>
      </c>
      <c r="H33" s="5" t="str">
        <f>_xlfn.CONCAT("84240669931")</f>
        <v>84240669931</v>
      </c>
      <c r="I33" s="5" t="s">
        <v>40</v>
      </c>
      <c r="J33" s="5" t="s">
        <v>29</v>
      </c>
      <c r="K33" s="5" t="str">
        <f>_xlfn.CONCAT("")</f>
        <v/>
      </c>
      <c r="L33" s="5" t="str">
        <f>_xlfn.CONCAT("10 10.1 4a")</f>
        <v>10 10.1 4a</v>
      </c>
      <c r="M33" s="5" t="str">
        <f>_xlfn.CONCAT("MGLPNI52L42E783F")</f>
        <v>MGLPNI52L42E783F</v>
      </c>
      <c r="N33" s="5" t="s">
        <v>98</v>
      </c>
      <c r="O33" s="5" t="s">
        <v>72</v>
      </c>
      <c r="P33" s="6">
        <v>44166</v>
      </c>
      <c r="Q33" s="5" t="s">
        <v>30</v>
      </c>
      <c r="R33" s="5" t="s">
        <v>31</v>
      </c>
      <c r="S33" s="5" t="s">
        <v>32</v>
      </c>
      <c r="T33" s="5"/>
      <c r="U33" s="5">
        <v>329.82</v>
      </c>
      <c r="V33" s="5">
        <v>142.22</v>
      </c>
      <c r="W33" s="5">
        <v>131.33000000000001</v>
      </c>
      <c r="X33" s="5">
        <v>0</v>
      </c>
      <c r="Y33" s="5">
        <v>56.27</v>
      </c>
    </row>
    <row r="34" spans="1:25" ht="24.75" x14ac:dyDescent="0.25">
      <c r="A34" s="5" t="s">
        <v>26</v>
      </c>
      <c r="B34" s="5" t="s">
        <v>37</v>
      </c>
      <c r="C34" s="5" t="s">
        <v>44</v>
      </c>
      <c r="D34" s="5" t="s">
        <v>59</v>
      </c>
      <c r="E34" s="5" t="s">
        <v>33</v>
      </c>
      <c r="F34" s="5" t="s">
        <v>62</v>
      </c>
      <c r="G34" s="5">
        <v>2019</v>
      </c>
      <c r="H34" s="5" t="str">
        <f>_xlfn.CONCAT("94211406171")</f>
        <v>94211406171</v>
      </c>
      <c r="I34" s="5" t="s">
        <v>28</v>
      </c>
      <c r="J34" s="5" t="s">
        <v>29</v>
      </c>
      <c r="K34" s="5" t="str">
        <f>_xlfn.CONCAT("")</f>
        <v/>
      </c>
      <c r="L34" s="5" t="str">
        <f>_xlfn.CONCAT("13 13.1 4a")</f>
        <v>13 13.1 4a</v>
      </c>
      <c r="M34" s="5" t="str">
        <f>_xlfn.CONCAT("BRNMSM69L27D007L")</f>
        <v>BRNMSM69L27D007L</v>
      </c>
      <c r="N34" s="5" t="s">
        <v>99</v>
      </c>
      <c r="O34" s="5" t="s">
        <v>58</v>
      </c>
      <c r="P34" s="6">
        <v>44166</v>
      </c>
      <c r="Q34" s="5" t="s">
        <v>30</v>
      </c>
      <c r="R34" s="5" t="s">
        <v>31</v>
      </c>
      <c r="S34" s="5" t="s">
        <v>32</v>
      </c>
      <c r="T34" s="5"/>
      <c r="U34" s="5">
        <v>996.5</v>
      </c>
      <c r="V34" s="5">
        <v>429.69</v>
      </c>
      <c r="W34" s="5">
        <v>396.81</v>
      </c>
      <c r="X34" s="5">
        <v>0</v>
      </c>
      <c r="Y34" s="5">
        <v>170</v>
      </c>
    </row>
    <row r="35" spans="1:25" ht="24.75" x14ac:dyDescent="0.25">
      <c r="A35" s="5" t="s">
        <v>26</v>
      </c>
      <c r="B35" s="5" t="s">
        <v>37</v>
      </c>
      <c r="C35" s="5" t="s">
        <v>44</v>
      </c>
      <c r="D35" s="5" t="s">
        <v>59</v>
      </c>
      <c r="E35" s="5" t="s">
        <v>33</v>
      </c>
      <c r="F35" s="5" t="s">
        <v>62</v>
      </c>
      <c r="G35" s="5">
        <v>2019</v>
      </c>
      <c r="H35" s="5" t="str">
        <f>_xlfn.CONCAT("94211406163")</f>
        <v>94211406163</v>
      </c>
      <c r="I35" s="5" t="s">
        <v>28</v>
      </c>
      <c r="J35" s="5" t="s">
        <v>29</v>
      </c>
      <c r="K35" s="5" t="str">
        <f>_xlfn.CONCAT("")</f>
        <v/>
      </c>
      <c r="L35" s="5" t="str">
        <f>_xlfn.CONCAT("13 13.1 4a")</f>
        <v>13 13.1 4a</v>
      </c>
      <c r="M35" s="5" t="str">
        <f>_xlfn.CONCAT("FSSDVD63L05F347X")</f>
        <v>FSSDVD63L05F347X</v>
      </c>
      <c r="N35" s="5" t="s">
        <v>100</v>
      </c>
      <c r="O35" s="5" t="s">
        <v>58</v>
      </c>
      <c r="P35" s="6">
        <v>44166</v>
      </c>
      <c r="Q35" s="5" t="s">
        <v>30</v>
      </c>
      <c r="R35" s="5" t="s">
        <v>31</v>
      </c>
      <c r="S35" s="5" t="s">
        <v>32</v>
      </c>
      <c r="T35" s="5"/>
      <c r="U35" s="7">
        <v>4094.9</v>
      </c>
      <c r="V35" s="7">
        <v>1765.72</v>
      </c>
      <c r="W35" s="7">
        <v>1630.59</v>
      </c>
      <c r="X35" s="5">
        <v>0</v>
      </c>
      <c r="Y35" s="5">
        <v>698.59</v>
      </c>
    </row>
    <row r="36" spans="1:25" ht="24.75" x14ac:dyDescent="0.25">
      <c r="A36" s="5" t="s">
        <v>26</v>
      </c>
      <c r="B36" s="5" t="s">
        <v>37</v>
      </c>
      <c r="C36" s="5" t="s">
        <v>44</v>
      </c>
      <c r="D36" s="5" t="s">
        <v>59</v>
      </c>
      <c r="E36" s="5" t="s">
        <v>33</v>
      </c>
      <c r="F36" s="5" t="s">
        <v>62</v>
      </c>
      <c r="G36" s="5">
        <v>2019</v>
      </c>
      <c r="H36" s="5" t="str">
        <f>_xlfn.CONCAT("94211406247")</f>
        <v>94211406247</v>
      </c>
      <c r="I36" s="5" t="s">
        <v>28</v>
      </c>
      <c r="J36" s="5" t="s">
        <v>29</v>
      </c>
      <c r="K36" s="5" t="str">
        <f>_xlfn.CONCAT("")</f>
        <v/>
      </c>
      <c r="L36" s="5" t="str">
        <f>_xlfn.CONCAT("13 13.1 4a")</f>
        <v>13 13.1 4a</v>
      </c>
      <c r="M36" s="5" t="str">
        <f>_xlfn.CONCAT("FRTCDN33P60F589D")</f>
        <v>FRTCDN33P60F589D</v>
      </c>
      <c r="N36" s="5" t="s">
        <v>101</v>
      </c>
      <c r="O36" s="5" t="s">
        <v>58</v>
      </c>
      <c r="P36" s="6">
        <v>44166</v>
      </c>
      <c r="Q36" s="5" t="s">
        <v>30</v>
      </c>
      <c r="R36" s="5" t="s">
        <v>31</v>
      </c>
      <c r="S36" s="5" t="s">
        <v>32</v>
      </c>
      <c r="T36" s="5"/>
      <c r="U36" s="5">
        <v>574.22</v>
      </c>
      <c r="V36" s="5">
        <v>247.6</v>
      </c>
      <c r="W36" s="5">
        <v>228.65</v>
      </c>
      <c r="X36" s="5">
        <v>0</v>
      </c>
      <c r="Y36" s="5">
        <v>97.97</v>
      </c>
    </row>
    <row r="37" spans="1:25" ht="24.75" x14ac:dyDescent="0.25">
      <c r="A37" s="5" t="s">
        <v>26</v>
      </c>
      <c r="B37" s="5" t="s">
        <v>37</v>
      </c>
      <c r="C37" s="5" t="s">
        <v>44</v>
      </c>
      <c r="D37" s="5" t="s">
        <v>59</v>
      </c>
      <c r="E37" s="5" t="s">
        <v>33</v>
      </c>
      <c r="F37" s="5" t="s">
        <v>62</v>
      </c>
      <c r="G37" s="5">
        <v>2018</v>
      </c>
      <c r="H37" s="5" t="str">
        <f>_xlfn.CONCAT("84211639418")</f>
        <v>84211639418</v>
      </c>
      <c r="I37" s="5" t="s">
        <v>28</v>
      </c>
      <c r="J37" s="5" t="s">
        <v>29</v>
      </c>
      <c r="K37" s="5" t="str">
        <f>_xlfn.CONCAT("")</f>
        <v/>
      </c>
      <c r="L37" s="5" t="str">
        <f>_xlfn.CONCAT("13 13.1 4a")</f>
        <v>13 13.1 4a</v>
      </c>
      <c r="M37" s="5" t="str">
        <f>_xlfn.CONCAT("BRSMRZ66H05F347C")</f>
        <v>BRSMRZ66H05F347C</v>
      </c>
      <c r="N37" s="5" t="s">
        <v>102</v>
      </c>
      <c r="O37" s="5" t="s">
        <v>58</v>
      </c>
      <c r="P37" s="6">
        <v>44166</v>
      </c>
      <c r="Q37" s="5" t="s">
        <v>30</v>
      </c>
      <c r="R37" s="5" t="s">
        <v>31</v>
      </c>
      <c r="S37" s="5" t="s">
        <v>32</v>
      </c>
      <c r="T37" s="5"/>
      <c r="U37" s="7">
        <v>5820.66</v>
      </c>
      <c r="V37" s="7">
        <v>2509.87</v>
      </c>
      <c r="W37" s="7">
        <v>2317.79</v>
      </c>
      <c r="X37" s="5">
        <v>0</v>
      </c>
      <c r="Y37" s="5">
        <v>993</v>
      </c>
    </row>
    <row r="38" spans="1:25" ht="24.75" x14ac:dyDescent="0.25">
      <c r="A38" s="5" t="s">
        <v>26</v>
      </c>
      <c r="B38" s="5" t="s">
        <v>37</v>
      </c>
      <c r="C38" s="5" t="s">
        <v>44</v>
      </c>
      <c r="D38" s="5" t="s">
        <v>59</v>
      </c>
      <c r="E38" s="5" t="s">
        <v>33</v>
      </c>
      <c r="F38" s="5" t="s">
        <v>62</v>
      </c>
      <c r="G38" s="5">
        <v>2019</v>
      </c>
      <c r="H38" s="5" t="str">
        <f>_xlfn.CONCAT("94211406189")</f>
        <v>94211406189</v>
      </c>
      <c r="I38" s="5" t="s">
        <v>28</v>
      </c>
      <c r="J38" s="5" t="s">
        <v>29</v>
      </c>
      <c r="K38" s="5" t="str">
        <f>_xlfn.CONCAT("")</f>
        <v/>
      </c>
      <c r="L38" s="5" t="str">
        <f>_xlfn.CONCAT("13 13.1 4a")</f>
        <v>13 13.1 4a</v>
      </c>
      <c r="M38" s="5" t="str">
        <f>_xlfn.CONCAT("BRSMRZ66H05F347C")</f>
        <v>BRSMRZ66H05F347C</v>
      </c>
      <c r="N38" s="5" t="s">
        <v>102</v>
      </c>
      <c r="O38" s="5" t="s">
        <v>58</v>
      </c>
      <c r="P38" s="6">
        <v>44166</v>
      </c>
      <c r="Q38" s="5" t="s">
        <v>30</v>
      </c>
      <c r="R38" s="5" t="s">
        <v>31</v>
      </c>
      <c r="S38" s="5" t="s">
        <v>32</v>
      </c>
      <c r="T38" s="5"/>
      <c r="U38" s="7">
        <v>5456.6</v>
      </c>
      <c r="V38" s="7">
        <v>2352.89</v>
      </c>
      <c r="W38" s="7">
        <v>2172.8200000000002</v>
      </c>
      <c r="X38" s="5">
        <v>0</v>
      </c>
      <c r="Y38" s="5">
        <v>930.89</v>
      </c>
    </row>
    <row r="39" spans="1:25" ht="24.75" x14ac:dyDescent="0.25">
      <c r="A39" s="5" t="s">
        <v>26</v>
      </c>
      <c r="B39" s="5" t="s">
        <v>37</v>
      </c>
      <c r="C39" s="5" t="s">
        <v>44</v>
      </c>
      <c r="D39" s="5" t="s">
        <v>59</v>
      </c>
      <c r="E39" s="5" t="s">
        <v>33</v>
      </c>
      <c r="F39" s="5" t="s">
        <v>62</v>
      </c>
      <c r="G39" s="5">
        <v>2019</v>
      </c>
      <c r="H39" s="5" t="str">
        <f>_xlfn.CONCAT("94211406205")</f>
        <v>94211406205</v>
      </c>
      <c r="I39" s="5" t="s">
        <v>28</v>
      </c>
      <c r="J39" s="5" t="s">
        <v>29</v>
      </c>
      <c r="K39" s="5" t="str">
        <f>_xlfn.CONCAT("")</f>
        <v/>
      </c>
      <c r="L39" s="5" t="str">
        <f>_xlfn.CONCAT("13 13.1 4a")</f>
        <v>13 13.1 4a</v>
      </c>
      <c r="M39" s="5" t="str">
        <f>_xlfn.CONCAT("CRLNNL56C31H886Q")</f>
        <v>CRLNNL56C31H886Q</v>
      </c>
      <c r="N39" s="5" t="s">
        <v>103</v>
      </c>
      <c r="O39" s="5" t="s">
        <v>58</v>
      </c>
      <c r="P39" s="6">
        <v>44166</v>
      </c>
      <c r="Q39" s="5" t="s">
        <v>30</v>
      </c>
      <c r="R39" s="5" t="s">
        <v>31</v>
      </c>
      <c r="S39" s="5" t="s">
        <v>32</v>
      </c>
      <c r="T39" s="5"/>
      <c r="U39" s="5">
        <v>920.7</v>
      </c>
      <c r="V39" s="5">
        <v>397.01</v>
      </c>
      <c r="W39" s="5">
        <v>366.62</v>
      </c>
      <c r="X39" s="5">
        <v>0</v>
      </c>
      <c r="Y39" s="5">
        <v>157.07</v>
      </c>
    </row>
    <row r="40" spans="1:25" ht="24.75" x14ac:dyDescent="0.25">
      <c r="A40" s="5" t="s">
        <v>26</v>
      </c>
      <c r="B40" s="5" t="s">
        <v>37</v>
      </c>
      <c r="C40" s="5" t="s">
        <v>44</v>
      </c>
      <c r="D40" s="5" t="s">
        <v>59</v>
      </c>
      <c r="E40" s="5" t="s">
        <v>33</v>
      </c>
      <c r="F40" s="5" t="s">
        <v>62</v>
      </c>
      <c r="G40" s="5">
        <v>2019</v>
      </c>
      <c r="H40" s="5" t="str">
        <f>_xlfn.CONCAT("94211406213")</f>
        <v>94211406213</v>
      </c>
      <c r="I40" s="5" t="s">
        <v>28</v>
      </c>
      <c r="J40" s="5" t="s">
        <v>29</v>
      </c>
      <c r="K40" s="5" t="str">
        <f>_xlfn.CONCAT("")</f>
        <v/>
      </c>
      <c r="L40" s="5" t="str">
        <f>_xlfn.CONCAT("13 13.1 4a")</f>
        <v>13 13.1 4a</v>
      </c>
      <c r="M40" s="5" t="str">
        <f>_xlfn.CONCAT("CSRRNN53B64A639V")</f>
        <v>CSRRNN53B64A639V</v>
      </c>
      <c r="N40" s="5" t="s">
        <v>104</v>
      </c>
      <c r="O40" s="5" t="s">
        <v>58</v>
      </c>
      <c r="P40" s="6">
        <v>44166</v>
      </c>
      <c r="Q40" s="5" t="s">
        <v>30</v>
      </c>
      <c r="R40" s="5" t="s">
        <v>31</v>
      </c>
      <c r="S40" s="5" t="s">
        <v>32</v>
      </c>
      <c r="T40" s="5"/>
      <c r="U40" s="7">
        <v>2349.7600000000002</v>
      </c>
      <c r="V40" s="7">
        <v>1013.22</v>
      </c>
      <c r="W40" s="5">
        <v>935.67</v>
      </c>
      <c r="X40" s="5">
        <v>0</v>
      </c>
      <c r="Y40" s="5">
        <v>400.87</v>
      </c>
    </row>
    <row r="41" spans="1:25" ht="24.75" x14ac:dyDescent="0.25">
      <c r="A41" s="5" t="s">
        <v>26</v>
      </c>
      <c r="B41" s="5" t="s">
        <v>37</v>
      </c>
      <c r="C41" s="5" t="s">
        <v>44</v>
      </c>
      <c r="D41" s="5" t="s">
        <v>59</v>
      </c>
      <c r="E41" s="5" t="s">
        <v>33</v>
      </c>
      <c r="F41" s="5" t="s">
        <v>62</v>
      </c>
      <c r="G41" s="5">
        <v>2019</v>
      </c>
      <c r="H41" s="5" t="str">
        <f>_xlfn.CONCAT("94211406221")</f>
        <v>94211406221</v>
      </c>
      <c r="I41" s="5" t="s">
        <v>28</v>
      </c>
      <c r="J41" s="5" t="s">
        <v>29</v>
      </c>
      <c r="K41" s="5" t="str">
        <f>_xlfn.CONCAT("")</f>
        <v/>
      </c>
      <c r="L41" s="5" t="str">
        <f>_xlfn.CONCAT("13 13.1 4a")</f>
        <v>13 13.1 4a</v>
      </c>
      <c r="M41" s="5" t="str">
        <f>_xlfn.CONCAT("DSNPQL53A55G089S")</f>
        <v>DSNPQL53A55G089S</v>
      </c>
      <c r="N41" s="5" t="s">
        <v>105</v>
      </c>
      <c r="O41" s="5" t="s">
        <v>58</v>
      </c>
      <c r="P41" s="6">
        <v>44166</v>
      </c>
      <c r="Q41" s="5" t="s">
        <v>30</v>
      </c>
      <c r="R41" s="5" t="s">
        <v>31</v>
      </c>
      <c r="S41" s="5" t="s">
        <v>32</v>
      </c>
      <c r="T41" s="5"/>
      <c r="U41" s="7">
        <v>1167.6199999999999</v>
      </c>
      <c r="V41" s="5">
        <v>503.48</v>
      </c>
      <c r="W41" s="5">
        <v>464.95</v>
      </c>
      <c r="X41" s="5">
        <v>0</v>
      </c>
      <c r="Y41" s="5">
        <v>199.19</v>
      </c>
    </row>
    <row r="42" spans="1:25" ht="24.75" x14ac:dyDescent="0.25">
      <c r="A42" s="5" t="s">
        <v>26</v>
      </c>
      <c r="B42" s="5" t="s">
        <v>37</v>
      </c>
      <c r="C42" s="5" t="s">
        <v>44</v>
      </c>
      <c r="D42" s="5" t="s">
        <v>59</v>
      </c>
      <c r="E42" s="5" t="s">
        <v>33</v>
      </c>
      <c r="F42" s="5" t="s">
        <v>62</v>
      </c>
      <c r="G42" s="5">
        <v>2019</v>
      </c>
      <c r="H42" s="5" t="str">
        <f>_xlfn.CONCAT("94211406155")</f>
        <v>94211406155</v>
      </c>
      <c r="I42" s="5" t="s">
        <v>28</v>
      </c>
      <c r="J42" s="5" t="s">
        <v>29</v>
      </c>
      <c r="K42" s="5" t="str">
        <f>_xlfn.CONCAT("")</f>
        <v/>
      </c>
      <c r="L42" s="5" t="str">
        <f>_xlfn.CONCAT("13 13.1 4a")</f>
        <v>13 13.1 4a</v>
      </c>
      <c r="M42" s="5" t="str">
        <f>_xlfn.CONCAT("BRNMRC71P12F347P")</f>
        <v>BRNMRC71P12F347P</v>
      </c>
      <c r="N42" s="5" t="s">
        <v>106</v>
      </c>
      <c r="O42" s="5" t="s">
        <v>58</v>
      </c>
      <c r="P42" s="6">
        <v>44166</v>
      </c>
      <c r="Q42" s="5" t="s">
        <v>30</v>
      </c>
      <c r="R42" s="5" t="s">
        <v>31</v>
      </c>
      <c r="S42" s="5" t="s">
        <v>32</v>
      </c>
      <c r="T42" s="5"/>
      <c r="U42" s="7">
        <v>2576.94</v>
      </c>
      <c r="V42" s="7">
        <v>1111.18</v>
      </c>
      <c r="W42" s="7">
        <v>1026.1400000000001</v>
      </c>
      <c r="X42" s="5">
        <v>0</v>
      </c>
      <c r="Y42" s="5">
        <v>439.62</v>
      </c>
    </row>
    <row r="43" spans="1:25" ht="24.75" x14ac:dyDescent="0.25">
      <c r="A43" s="5" t="s">
        <v>26</v>
      </c>
      <c r="B43" s="5" t="s">
        <v>37</v>
      </c>
      <c r="C43" s="5" t="s">
        <v>44</v>
      </c>
      <c r="D43" s="5" t="s">
        <v>59</v>
      </c>
      <c r="E43" s="5" t="s">
        <v>33</v>
      </c>
      <c r="F43" s="5" t="s">
        <v>62</v>
      </c>
      <c r="G43" s="5">
        <v>2019</v>
      </c>
      <c r="H43" s="5" t="str">
        <f>_xlfn.CONCAT("94211406122")</f>
        <v>94211406122</v>
      </c>
      <c r="I43" s="5" t="s">
        <v>28</v>
      </c>
      <c r="J43" s="5" t="s">
        <v>29</v>
      </c>
      <c r="K43" s="5" t="str">
        <f>_xlfn.CONCAT("")</f>
        <v/>
      </c>
      <c r="L43" s="5" t="str">
        <f>_xlfn.CONCAT("13 13.1 4a")</f>
        <v>13 13.1 4a</v>
      </c>
      <c r="M43" s="5" t="str">
        <f>_xlfn.CONCAT("BRSMHL99E13L500L")</f>
        <v>BRSMHL99E13L500L</v>
      </c>
      <c r="N43" s="5" t="s">
        <v>107</v>
      </c>
      <c r="O43" s="5" t="s">
        <v>58</v>
      </c>
      <c r="P43" s="6">
        <v>44166</v>
      </c>
      <c r="Q43" s="5" t="s">
        <v>30</v>
      </c>
      <c r="R43" s="5" t="s">
        <v>31</v>
      </c>
      <c r="S43" s="5" t="s">
        <v>32</v>
      </c>
      <c r="T43" s="5"/>
      <c r="U43" s="7">
        <v>4551.22</v>
      </c>
      <c r="V43" s="7">
        <v>1962.49</v>
      </c>
      <c r="W43" s="7">
        <v>1812.3</v>
      </c>
      <c r="X43" s="5">
        <v>0</v>
      </c>
      <c r="Y43" s="5">
        <v>776.43</v>
      </c>
    </row>
    <row r="44" spans="1:25" ht="24.75" x14ac:dyDescent="0.25">
      <c r="A44" s="5" t="s">
        <v>26</v>
      </c>
      <c r="B44" s="5" t="s">
        <v>37</v>
      </c>
      <c r="C44" s="5" t="s">
        <v>44</v>
      </c>
      <c r="D44" s="5" t="s">
        <v>55</v>
      </c>
      <c r="E44" s="5" t="s">
        <v>34</v>
      </c>
      <c r="F44" s="5" t="s">
        <v>108</v>
      </c>
      <c r="G44" s="5">
        <v>2018</v>
      </c>
      <c r="H44" s="5" t="str">
        <f>_xlfn.CONCAT("84240710198")</f>
        <v>84240710198</v>
      </c>
      <c r="I44" s="5" t="s">
        <v>28</v>
      </c>
      <c r="J44" s="5" t="s">
        <v>29</v>
      </c>
      <c r="K44" s="5" t="str">
        <f>_xlfn.CONCAT("")</f>
        <v/>
      </c>
      <c r="L44" s="5" t="str">
        <f>_xlfn.CONCAT("10 10.1 4a")</f>
        <v>10 10.1 4a</v>
      </c>
      <c r="M44" s="5" t="str">
        <f>_xlfn.CONCAT("PRLRMN73B44E388N")</f>
        <v>PRLRMN73B44E388N</v>
      </c>
      <c r="N44" s="5" t="s">
        <v>109</v>
      </c>
      <c r="O44" s="5" t="s">
        <v>72</v>
      </c>
      <c r="P44" s="6">
        <v>44166</v>
      </c>
      <c r="Q44" s="5" t="s">
        <v>30</v>
      </c>
      <c r="R44" s="5" t="s">
        <v>31</v>
      </c>
      <c r="S44" s="5" t="s">
        <v>32</v>
      </c>
      <c r="T44" s="5"/>
      <c r="U44" s="7">
        <v>1708.48</v>
      </c>
      <c r="V44" s="5">
        <v>736.7</v>
      </c>
      <c r="W44" s="5">
        <v>680.32</v>
      </c>
      <c r="X44" s="5">
        <v>0</v>
      </c>
      <c r="Y44" s="5">
        <v>291.45999999999998</v>
      </c>
    </row>
    <row r="45" spans="1:25" ht="24.75" x14ac:dyDescent="0.25">
      <c r="A45" s="5" t="s">
        <v>26</v>
      </c>
      <c r="B45" s="5" t="s">
        <v>37</v>
      </c>
      <c r="C45" s="5" t="s">
        <v>44</v>
      </c>
      <c r="D45" s="5" t="s">
        <v>59</v>
      </c>
      <c r="E45" s="5" t="s">
        <v>33</v>
      </c>
      <c r="F45" s="5" t="s">
        <v>110</v>
      </c>
      <c r="G45" s="5">
        <v>2019</v>
      </c>
      <c r="H45" s="5" t="str">
        <f>_xlfn.CONCAT("94210709658")</f>
        <v>94210709658</v>
      </c>
      <c r="I45" s="5" t="s">
        <v>28</v>
      </c>
      <c r="J45" s="5" t="s">
        <v>29</v>
      </c>
      <c r="K45" s="5" t="str">
        <f>_xlfn.CONCAT("")</f>
        <v/>
      </c>
      <c r="L45" s="5" t="str">
        <f>_xlfn.CONCAT("13 13.1 4a")</f>
        <v>13 13.1 4a</v>
      </c>
      <c r="M45" s="5" t="str">
        <f>_xlfn.CONCAT("GTRCRS78A24D786U")</f>
        <v>GTRCRS78A24D786U</v>
      </c>
      <c r="N45" s="5" t="s">
        <v>111</v>
      </c>
      <c r="O45" s="5" t="s">
        <v>58</v>
      </c>
      <c r="P45" s="6">
        <v>44166</v>
      </c>
      <c r="Q45" s="5" t="s">
        <v>30</v>
      </c>
      <c r="R45" s="5" t="s">
        <v>31</v>
      </c>
      <c r="S45" s="5" t="s">
        <v>32</v>
      </c>
      <c r="T45" s="5"/>
      <c r="U45" s="5">
        <v>68.69</v>
      </c>
      <c r="V45" s="5">
        <v>29.62</v>
      </c>
      <c r="W45" s="5">
        <v>27.35</v>
      </c>
      <c r="X45" s="5">
        <v>0</v>
      </c>
      <c r="Y45" s="5">
        <v>11.72</v>
      </c>
    </row>
    <row r="46" spans="1:25" ht="24.75" x14ac:dyDescent="0.25">
      <c r="A46" s="5" t="s">
        <v>26</v>
      </c>
      <c r="B46" s="5" t="s">
        <v>37</v>
      </c>
      <c r="C46" s="5" t="s">
        <v>44</v>
      </c>
      <c r="D46" s="5" t="s">
        <v>59</v>
      </c>
      <c r="E46" s="5" t="s">
        <v>33</v>
      </c>
      <c r="F46" s="5" t="s">
        <v>62</v>
      </c>
      <c r="G46" s="5">
        <v>2019</v>
      </c>
      <c r="H46" s="5" t="str">
        <f>_xlfn.CONCAT("94211406254")</f>
        <v>94211406254</v>
      </c>
      <c r="I46" s="5" t="s">
        <v>28</v>
      </c>
      <c r="J46" s="5" t="s">
        <v>29</v>
      </c>
      <c r="K46" s="5" t="str">
        <f>_xlfn.CONCAT("")</f>
        <v/>
      </c>
      <c r="L46" s="5" t="str">
        <f>_xlfn.CONCAT("13 13.1 4a")</f>
        <v>13 13.1 4a</v>
      </c>
      <c r="M46" s="5" t="str">
        <f>_xlfn.CONCAT("PLVNLL49M04H886Q")</f>
        <v>PLVNLL49M04H886Q</v>
      </c>
      <c r="N46" s="5" t="s">
        <v>112</v>
      </c>
      <c r="O46" s="5" t="s">
        <v>58</v>
      </c>
      <c r="P46" s="6">
        <v>44166</v>
      </c>
      <c r="Q46" s="5" t="s">
        <v>30</v>
      </c>
      <c r="R46" s="5" t="s">
        <v>31</v>
      </c>
      <c r="S46" s="5" t="s">
        <v>32</v>
      </c>
      <c r="T46" s="5"/>
      <c r="U46" s="5">
        <v>749.52</v>
      </c>
      <c r="V46" s="5">
        <v>323.19</v>
      </c>
      <c r="W46" s="5">
        <v>298.45999999999998</v>
      </c>
      <c r="X46" s="5">
        <v>0</v>
      </c>
      <c r="Y46" s="5">
        <v>127.87</v>
      </c>
    </row>
    <row r="47" spans="1:25" x14ac:dyDescent="0.25">
      <c r="A47" s="5" t="s">
        <v>26</v>
      </c>
      <c r="B47" s="5" t="s">
        <v>37</v>
      </c>
      <c r="C47" s="5" t="s">
        <v>44</v>
      </c>
      <c r="D47" s="5" t="s">
        <v>49</v>
      </c>
      <c r="E47" s="5" t="s">
        <v>34</v>
      </c>
      <c r="F47" s="5" t="s">
        <v>113</v>
      </c>
      <c r="G47" s="5">
        <v>2019</v>
      </c>
      <c r="H47" s="5" t="str">
        <f>_xlfn.CONCAT("94210076785")</f>
        <v>94210076785</v>
      </c>
      <c r="I47" s="5" t="s">
        <v>28</v>
      </c>
      <c r="J47" s="5" t="s">
        <v>29</v>
      </c>
      <c r="K47" s="5" t="str">
        <f>_xlfn.CONCAT("")</f>
        <v/>
      </c>
      <c r="L47" s="5" t="str">
        <f>_xlfn.CONCAT("13 13.1 4a")</f>
        <v>13 13.1 4a</v>
      </c>
      <c r="M47" s="5" t="str">
        <f>_xlfn.CONCAT("PGNLCN34P25M078W")</f>
        <v>PGNLCN34P25M078W</v>
      </c>
      <c r="N47" s="5" t="s">
        <v>114</v>
      </c>
      <c r="O47" s="5" t="s">
        <v>58</v>
      </c>
      <c r="P47" s="6">
        <v>44166</v>
      </c>
      <c r="Q47" s="5" t="s">
        <v>30</v>
      </c>
      <c r="R47" s="5" t="s">
        <v>31</v>
      </c>
      <c r="S47" s="5" t="s">
        <v>32</v>
      </c>
      <c r="T47" s="5"/>
      <c r="U47" s="7">
        <v>2476</v>
      </c>
      <c r="V47" s="7">
        <v>1067.6500000000001</v>
      </c>
      <c r="W47" s="5">
        <v>985.94</v>
      </c>
      <c r="X47" s="5">
        <v>0</v>
      </c>
      <c r="Y47" s="5">
        <v>422.41</v>
      </c>
    </row>
    <row r="48" spans="1:25" x14ac:dyDescent="0.25">
      <c r="A48" s="5" t="s">
        <v>26</v>
      </c>
      <c r="B48" s="5" t="s">
        <v>37</v>
      </c>
      <c r="C48" s="5" t="s">
        <v>44</v>
      </c>
      <c r="D48" s="5" t="s">
        <v>49</v>
      </c>
      <c r="E48" s="5" t="s">
        <v>38</v>
      </c>
      <c r="F48" s="5" t="s">
        <v>115</v>
      </c>
      <c r="G48" s="5">
        <v>2019</v>
      </c>
      <c r="H48" s="5" t="str">
        <f>_xlfn.CONCAT("94770052291")</f>
        <v>94770052291</v>
      </c>
      <c r="I48" s="5" t="s">
        <v>40</v>
      </c>
      <c r="J48" s="5" t="s">
        <v>42</v>
      </c>
      <c r="K48" s="5" t="str">
        <f>_xlfn.CONCAT("214")</f>
        <v>214</v>
      </c>
      <c r="L48" s="5" t="str">
        <f>_xlfn.CONCAT("11 11.2 4b")</f>
        <v>11 11.2 4b</v>
      </c>
      <c r="M48" s="5" t="str">
        <f>_xlfn.CONCAT("BTSDBR47H06C267Z")</f>
        <v>BTSDBR47H06C267Z</v>
      </c>
      <c r="N48" s="5" t="s">
        <v>116</v>
      </c>
      <c r="O48" s="5" t="s">
        <v>117</v>
      </c>
      <c r="P48" s="6">
        <v>44166</v>
      </c>
      <c r="Q48" s="5" t="s">
        <v>30</v>
      </c>
      <c r="R48" s="5" t="s">
        <v>31</v>
      </c>
      <c r="S48" s="5" t="s">
        <v>32</v>
      </c>
      <c r="T48" s="5"/>
      <c r="U48" s="7">
        <v>3748.58</v>
      </c>
      <c r="V48" s="7">
        <v>1616.39</v>
      </c>
      <c r="W48" s="7">
        <v>1492.68</v>
      </c>
      <c r="X48" s="5">
        <v>0</v>
      </c>
      <c r="Y48" s="5">
        <v>639.51</v>
      </c>
    </row>
    <row r="49" spans="1:25" ht="24.75" x14ac:dyDescent="0.25">
      <c r="A49" s="5" t="s">
        <v>26</v>
      </c>
      <c r="B49" s="5" t="s">
        <v>37</v>
      </c>
      <c r="C49" s="5" t="s">
        <v>44</v>
      </c>
      <c r="D49" s="5" t="s">
        <v>45</v>
      </c>
      <c r="E49" s="5" t="s">
        <v>33</v>
      </c>
      <c r="F49" s="5" t="s">
        <v>118</v>
      </c>
      <c r="G49" s="5">
        <v>2019</v>
      </c>
      <c r="H49" s="5" t="str">
        <f>_xlfn.CONCAT("94770015546")</f>
        <v>94770015546</v>
      </c>
      <c r="I49" s="5" t="s">
        <v>40</v>
      </c>
      <c r="J49" s="5" t="s">
        <v>42</v>
      </c>
      <c r="K49" s="5" t="str">
        <f>_xlfn.CONCAT("214")</f>
        <v>214</v>
      </c>
      <c r="L49" s="5" t="str">
        <f>_xlfn.CONCAT("11 11.1 4b")</f>
        <v>11 11.1 4b</v>
      </c>
      <c r="M49" s="5" t="str">
        <f>_xlfn.CONCAT("RCCMNT93E12H501V")</f>
        <v>RCCMNT93E12H501V</v>
      </c>
      <c r="N49" s="5" t="s">
        <v>119</v>
      </c>
      <c r="O49" s="5" t="s">
        <v>117</v>
      </c>
      <c r="P49" s="6">
        <v>44166</v>
      </c>
      <c r="Q49" s="5" t="s">
        <v>30</v>
      </c>
      <c r="R49" s="5" t="s">
        <v>31</v>
      </c>
      <c r="S49" s="5" t="s">
        <v>32</v>
      </c>
      <c r="T49" s="5"/>
      <c r="U49" s="5">
        <v>341.08</v>
      </c>
      <c r="V49" s="5">
        <v>147.07</v>
      </c>
      <c r="W49" s="5">
        <v>135.82</v>
      </c>
      <c r="X49" s="5">
        <v>0</v>
      </c>
      <c r="Y49" s="5">
        <v>58.19</v>
      </c>
    </row>
    <row r="50" spans="1:25" ht="24.75" x14ac:dyDescent="0.25">
      <c r="A50" s="5" t="s">
        <v>26</v>
      </c>
      <c r="B50" s="5" t="s">
        <v>37</v>
      </c>
      <c r="C50" s="5" t="s">
        <v>44</v>
      </c>
      <c r="D50" s="5" t="s">
        <v>49</v>
      </c>
      <c r="E50" s="5" t="s">
        <v>35</v>
      </c>
      <c r="F50" s="5" t="s">
        <v>84</v>
      </c>
      <c r="G50" s="5">
        <v>2019</v>
      </c>
      <c r="H50" s="5" t="str">
        <f>_xlfn.CONCAT("94780080555")</f>
        <v>94780080555</v>
      </c>
      <c r="I50" s="5" t="s">
        <v>28</v>
      </c>
      <c r="J50" s="5" t="s">
        <v>42</v>
      </c>
      <c r="K50" s="5" t="str">
        <f>_xlfn.CONCAT("221")</f>
        <v>221</v>
      </c>
      <c r="L50" s="5" t="str">
        <f>_xlfn.CONCAT("8 8.1 5e")</f>
        <v>8 8.1 5e</v>
      </c>
      <c r="M50" s="5" t="str">
        <f>_xlfn.CONCAT("02635350404")</f>
        <v>02635350404</v>
      </c>
      <c r="N50" s="5" t="s">
        <v>120</v>
      </c>
      <c r="O50" s="5" t="s">
        <v>121</v>
      </c>
      <c r="P50" s="6">
        <v>44166</v>
      </c>
      <c r="Q50" s="5" t="s">
        <v>30</v>
      </c>
      <c r="R50" s="5" t="s">
        <v>31</v>
      </c>
      <c r="S50" s="5" t="s">
        <v>32</v>
      </c>
      <c r="T50" s="5"/>
      <c r="U50" s="7">
        <v>10406.030000000001</v>
      </c>
      <c r="V50" s="7">
        <v>4487.08</v>
      </c>
      <c r="W50" s="7">
        <v>4143.68</v>
      </c>
      <c r="X50" s="5">
        <v>0</v>
      </c>
      <c r="Y50" s="7">
        <v>1775.27</v>
      </c>
    </row>
    <row r="51" spans="1:25" ht="24.75" x14ac:dyDescent="0.25">
      <c r="A51" s="5" t="s">
        <v>26</v>
      </c>
      <c r="B51" s="5" t="s">
        <v>37</v>
      </c>
      <c r="C51" s="5" t="s">
        <v>44</v>
      </c>
      <c r="D51" s="5" t="s">
        <v>55</v>
      </c>
      <c r="E51" s="5" t="s">
        <v>35</v>
      </c>
      <c r="F51" s="5" t="s">
        <v>122</v>
      </c>
      <c r="G51" s="5">
        <v>2019</v>
      </c>
      <c r="H51" s="5" t="str">
        <f>_xlfn.CONCAT("94770000837")</f>
        <v>94770000837</v>
      </c>
      <c r="I51" s="5" t="s">
        <v>40</v>
      </c>
      <c r="J51" s="5" t="s">
        <v>42</v>
      </c>
      <c r="K51" s="5" t="str">
        <f>_xlfn.CONCAT("214")</f>
        <v>214</v>
      </c>
      <c r="L51" s="5" t="str">
        <f>_xlfn.CONCAT("11 11.1 4b")</f>
        <v>11 11.1 4b</v>
      </c>
      <c r="M51" s="5" t="str">
        <f>_xlfn.CONCAT("02654340427")</f>
        <v>02654340427</v>
      </c>
      <c r="N51" s="5" t="s">
        <v>123</v>
      </c>
      <c r="O51" s="5" t="s">
        <v>117</v>
      </c>
      <c r="P51" s="6">
        <v>44166</v>
      </c>
      <c r="Q51" s="5" t="s">
        <v>30</v>
      </c>
      <c r="R51" s="5" t="s">
        <v>31</v>
      </c>
      <c r="S51" s="5" t="s">
        <v>32</v>
      </c>
      <c r="T51" s="5"/>
      <c r="U51" s="5">
        <v>448.47</v>
      </c>
      <c r="V51" s="5">
        <v>193.38</v>
      </c>
      <c r="W51" s="5">
        <v>178.58</v>
      </c>
      <c r="X51" s="5">
        <v>0</v>
      </c>
      <c r="Y51" s="5">
        <v>76.510000000000005</v>
      </c>
    </row>
    <row r="52" spans="1:25" ht="24.75" x14ac:dyDescent="0.25">
      <c r="A52" s="5" t="s">
        <v>26</v>
      </c>
      <c r="B52" s="5" t="s">
        <v>37</v>
      </c>
      <c r="C52" s="5" t="s">
        <v>44</v>
      </c>
      <c r="D52" s="5" t="s">
        <v>45</v>
      </c>
      <c r="E52" s="5" t="s">
        <v>27</v>
      </c>
      <c r="F52" s="5" t="s">
        <v>27</v>
      </c>
      <c r="G52" s="5">
        <v>2019</v>
      </c>
      <c r="H52" s="5" t="str">
        <f>_xlfn.CONCAT("94770038209")</f>
        <v>94770038209</v>
      </c>
      <c r="I52" s="5" t="s">
        <v>28</v>
      </c>
      <c r="J52" s="5" t="s">
        <v>42</v>
      </c>
      <c r="K52" s="5" t="str">
        <f>_xlfn.CONCAT("214")</f>
        <v>214</v>
      </c>
      <c r="L52" s="5" t="str">
        <f>_xlfn.CONCAT("11 11.2 4b")</f>
        <v>11 11.2 4b</v>
      </c>
      <c r="M52" s="5" t="str">
        <f>_xlfn.CONCAT("LLMNLN70S17H321W")</f>
        <v>LLMNLN70S17H321W</v>
      </c>
      <c r="N52" s="5" t="s">
        <v>124</v>
      </c>
      <c r="O52" s="5" t="s">
        <v>117</v>
      </c>
      <c r="P52" s="6">
        <v>44166</v>
      </c>
      <c r="Q52" s="5" t="s">
        <v>30</v>
      </c>
      <c r="R52" s="5" t="s">
        <v>31</v>
      </c>
      <c r="S52" s="5" t="s">
        <v>32</v>
      </c>
      <c r="T52" s="5"/>
      <c r="U52" s="7">
        <v>1946.21</v>
      </c>
      <c r="V52" s="5">
        <v>839.21</v>
      </c>
      <c r="W52" s="5">
        <v>774.98</v>
      </c>
      <c r="X52" s="5">
        <v>0</v>
      </c>
      <c r="Y52" s="5">
        <v>332.02</v>
      </c>
    </row>
    <row r="53" spans="1:25" x14ac:dyDescent="0.25">
      <c r="A53" s="5" t="s">
        <v>26</v>
      </c>
      <c r="B53" s="5" t="s">
        <v>37</v>
      </c>
      <c r="C53" s="5" t="s">
        <v>44</v>
      </c>
      <c r="D53" s="5" t="s">
        <v>49</v>
      </c>
      <c r="E53" s="5" t="s">
        <v>34</v>
      </c>
      <c r="F53" s="5" t="s">
        <v>50</v>
      </c>
      <c r="G53" s="5">
        <v>2019</v>
      </c>
      <c r="H53" s="5" t="str">
        <f>_xlfn.CONCAT("94770038639")</f>
        <v>94770038639</v>
      </c>
      <c r="I53" s="5" t="s">
        <v>28</v>
      </c>
      <c r="J53" s="5" t="s">
        <v>42</v>
      </c>
      <c r="K53" s="5" t="str">
        <f>_xlfn.CONCAT("214")</f>
        <v>214</v>
      </c>
      <c r="L53" s="5" t="str">
        <f>_xlfn.CONCAT("11 11.1 4b")</f>
        <v>11 11.1 4b</v>
      </c>
      <c r="M53" s="5" t="str">
        <f>_xlfn.CONCAT("TLNRND44T24L366G")</f>
        <v>TLNRND44T24L366G</v>
      </c>
      <c r="N53" s="5" t="s">
        <v>125</v>
      </c>
      <c r="O53" s="5" t="s">
        <v>117</v>
      </c>
      <c r="P53" s="6">
        <v>44166</v>
      </c>
      <c r="Q53" s="5" t="s">
        <v>30</v>
      </c>
      <c r="R53" s="5" t="s">
        <v>31</v>
      </c>
      <c r="S53" s="5" t="s">
        <v>32</v>
      </c>
      <c r="T53" s="5"/>
      <c r="U53" s="5">
        <v>737.3</v>
      </c>
      <c r="V53" s="5">
        <v>317.92</v>
      </c>
      <c r="W53" s="5">
        <v>293.58999999999997</v>
      </c>
      <c r="X53" s="5">
        <v>0</v>
      </c>
      <c r="Y53" s="5">
        <v>125.79</v>
      </c>
    </row>
    <row r="54" spans="1:25" ht="24.75" x14ac:dyDescent="0.25">
      <c r="A54" s="5" t="s">
        <v>26</v>
      </c>
      <c r="B54" s="5" t="s">
        <v>37</v>
      </c>
      <c r="C54" s="5" t="s">
        <v>44</v>
      </c>
      <c r="D54" s="5" t="s">
        <v>59</v>
      </c>
      <c r="E54" s="5" t="s">
        <v>35</v>
      </c>
      <c r="F54" s="5" t="s">
        <v>84</v>
      </c>
      <c r="G54" s="5">
        <v>2019</v>
      </c>
      <c r="H54" s="5" t="str">
        <f>_xlfn.CONCAT("94780080548")</f>
        <v>94780080548</v>
      </c>
      <c r="I54" s="5" t="s">
        <v>28</v>
      </c>
      <c r="J54" s="5" t="s">
        <v>42</v>
      </c>
      <c r="K54" s="5" t="str">
        <f>_xlfn.CONCAT("221")</f>
        <v>221</v>
      </c>
      <c r="L54" s="5" t="str">
        <f>_xlfn.CONCAT("8 8.1 5e")</f>
        <v>8 8.1 5e</v>
      </c>
      <c r="M54" s="5" t="str">
        <f>_xlfn.CONCAT("03473720401")</f>
        <v>03473720401</v>
      </c>
      <c r="N54" s="5" t="s">
        <v>126</v>
      </c>
      <c r="O54" s="5" t="s">
        <v>121</v>
      </c>
      <c r="P54" s="6">
        <v>44166</v>
      </c>
      <c r="Q54" s="5" t="s">
        <v>30</v>
      </c>
      <c r="R54" s="5" t="s">
        <v>31</v>
      </c>
      <c r="S54" s="5" t="s">
        <v>32</v>
      </c>
      <c r="T54" s="5"/>
      <c r="U54" s="7">
        <v>1378.17</v>
      </c>
      <c r="V54" s="5">
        <v>594.27</v>
      </c>
      <c r="W54" s="5">
        <v>548.79</v>
      </c>
      <c r="X54" s="5">
        <v>0</v>
      </c>
      <c r="Y54" s="5">
        <v>235.11</v>
      </c>
    </row>
    <row r="55" spans="1:25" ht="24.75" x14ac:dyDescent="0.25">
      <c r="A55" s="5" t="s">
        <v>26</v>
      </c>
      <c r="B55" s="5" t="s">
        <v>37</v>
      </c>
      <c r="C55" s="5" t="s">
        <v>44</v>
      </c>
      <c r="D55" s="5" t="s">
        <v>45</v>
      </c>
      <c r="E55" s="5" t="s">
        <v>27</v>
      </c>
      <c r="F55" s="5" t="s">
        <v>27</v>
      </c>
      <c r="G55" s="5">
        <v>2017</v>
      </c>
      <c r="H55" s="5" t="str">
        <f>_xlfn.CONCAT("74240088745")</f>
        <v>74240088745</v>
      </c>
      <c r="I55" s="5" t="s">
        <v>28</v>
      </c>
      <c r="J55" s="5" t="s">
        <v>29</v>
      </c>
      <c r="K55" s="5" t="str">
        <f>_xlfn.CONCAT("")</f>
        <v/>
      </c>
      <c r="L55" s="5" t="str">
        <f>_xlfn.CONCAT("11 11.2 4b")</f>
        <v>11 11.2 4b</v>
      </c>
      <c r="M55" s="5" t="str">
        <f>_xlfn.CONCAT("01511110445")</f>
        <v>01511110445</v>
      </c>
      <c r="N55" s="5" t="s">
        <v>127</v>
      </c>
      <c r="O55" s="5" t="s">
        <v>128</v>
      </c>
      <c r="P55" s="6">
        <v>44166</v>
      </c>
      <c r="Q55" s="5" t="s">
        <v>30</v>
      </c>
      <c r="R55" s="5" t="s">
        <v>31</v>
      </c>
      <c r="S55" s="5" t="s">
        <v>32</v>
      </c>
      <c r="T55" s="5"/>
      <c r="U55" s="7">
        <v>6067.11</v>
      </c>
      <c r="V55" s="7">
        <v>2616.14</v>
      </c>
      <c r="W55" s="7">
        <v>2415.92</v>
      </c>
      <c r="X55" s="5">
        <v>0</v>
      </c>
      <c r="Y55" s="7">
        <v>1035.05</v>
      </c>
    </row>
    <row r="56" spans="1:25" ht="24.75" x14ac:dyDescent="0.25">
      <c r="A56" s="5" t="s">
        <v>26</v>
      </c>
      <c r="B56" s="5" t="s">
        <v>37</v>
      </c>
      <c r="C56" s="5" t="s">
        <v>44</v>
      </c>
      <c r="D56" s="5" t="s">
        <v>45</v>
      </c>
      <c r="E56" s="5" t="s">
        <v>27</v>
      </c>
      <c r="F56" s="5" t="s">
        <v>27</v>
      </c>
      <c r="G56" s="5">
        <v>2017</v>
      </c>
      <c r="H56" s="5" t="str">
        <f>_xlfn.CONCAT("74240312962")</f>
        <v>74240312962</v>
      </c>
      <c r="I56" s="5" t="s">
        <v>28</v>
      </c>
      <c r="J56" s="5" t="s">
        <v>29</v>
      </c>
      <c r="K56" s="5" t="str">
        <f>_xlfn.CONCAT("")</f>
        <v/>
      </c>
      <c r="L56" s="5" t="str">
        <f>_xlfn.CONCAT("11 11.2 4b")</f>
        <v>11 11.2 4b</v>
      </c>
      <c r="M56" s="5" t="str">
        <f>_xlfn.CONCAT("NCCRNN81C14H769H")</f>
        <v>NCCRNN81C14H769H</v>
      </c>
      <c r="N56" s="5" t="s">
        <v>129</v>
      </c>
      <c r="O56" s="5" t="s">
        <v>128</v>
      </c>
      <c r="P56" s="6">
        <v>44166</v>
      </c>
      <c r="Q56" s="5" t="s">
        <v>30</v>
      </c>
      <c r="R56" s="5" t="s">
        <v>31</v>
      </c>
      <c r="S56" s="5" t="s">
        <v>32</v>
      </c>
      <c r="T56" s="5"/>
      <c r="U56" s="7">
        <v>1469.65</v>
      </c>
      <c r="V56" s="5">
        <v>633.71</v>
      </c>
      <c r="W56" s="5">
        <v>585.21</v>
      </c>
      <c r="X56" s="5">
        <v>0</v>
      </c>
      <c r="Y56" s="5">
        <v>250.73</v>
      </c>
    </row>
    <row r="57" spans="1:25" ht="24.75" x14ac:dyDescent="0.25">
      <c r="A57" s="5" t="s">
        <v>26</v>
      </c>
      <c r="B57" s="5" t="s">
        <v>37</v>
      </c>
      <c r="C57" s="5" t="s">
        <v>44</v>
      </c>
      <c r="D57" s="5" t="s">
        <v>45</v>
      </c>
      <c r="E57" s="5" t="s">
        <v>27</v>
      </c>
      <c r="F57" s="5" t="s">
        <v>27</v>
      </c>
      <c r="G57" s="5">
        <v>2018</v>
      </c>
      <c r="H57" s="5" t="str">
        <f>_xlfn.CONCAT("84241059801")</f>
        <v>84241059801</v>
      </c>
      <c r="I57" s="5" t="s">
        <v>40</v>
      </c>
      <c r="J57" s="5" t="s">
        <v>29</v>
      </c>
      <c r="K57" s="5" t="str">
        <f>_xlfn.CONCAT("")</f>
        <v/>
      </c>
      <c r="L57" s="5" t="str">
        <f>_xlfn.CONCAT("11 11.2 4b")</f>
        <v>11 11.2 4b</v>
      </c>
      <c r="M57" s="5" t="str">
        <f>_xlfn.CONCAT("NCCRNN81C14H769H")</f>
        <v>NCCRNN81C14H769H</v>
      </c>
      <c r="N57" s="5" t="s">
        <v>129</v>
      </c>
      <c r="O57" s="5" t="s">
        <v>128</v>
      </c>
      <c r="P57" s="6">
        <v>44166</v>
      </c>
      <c r="Q57" s="5" t="s">
        <v>30</v>
      </c>
      <c r="R57" s="5" t="s">
        <v>31</v>
      </c>
      <c r="S57" s="5" t="s">
        <v>32</v>
      </c>
      <c r="T57" s="5"/>
      <c r="U57" s="7">
        <v>1469.65</v>
      </c>
      <c r="V57" s="5">
        <v>633.71</v>
      </c>
      <c r="W57" s="5">
        <v>585.21</v>
      </c>
      <c r="X57" s="5">
        <v>0</v>
      </c>
      <c r="Y57" s="5">
        <v>250.73</v>
      </c>
    </row>
    <row r="58" spans="1:25" ht="24.75" x14ac:dyDescent="0.25">
      <c r="A58" s="5" t="s">
        <v>26</v>
      </c>
      <c r="B58" s="5" t="s">
        <v>37</v>
      </c>
      <c r="C58" s="5" t="s">
        <v>44</v>
      </c>
      <c r="D58" s="5" t="s">
        <v>55</v>
      </c>
      <c r="E58" s="5" t="s">
        <v>34</v>
      </c>
      <c r="F58" s="5" t="s">
        <v>70</v>
      </c>
      <c r="G58" s="5">
        <v>2019</v>
      </c>
      <c r="H58" s="5" t="str">
        <f>_xlfn.CONCAT("94240619513")</f>
        <v>94240619513</v>
      </c>
      <c r="I58" s="5" t="s">
        <v>40</v>
      </c>
      <c r="J58" s="5" t="s">
        <v>29</v>
      </c>
      <c r="K58" s="5" t="str">
        <f>_xlfn.CONCAT("")</f>
        <v/>
      </c>
      <c r="L58" s="5" t="str">
        <f>_xlfn.CONCAT("11 11.2 4b")</f>
        <v>11 11.2 4b</v>
      </c>
      <c r="M58" s="5" t="str">
        <f>_xlfn.CONCAT("TGNGNN87C16E388I")</f>
        <v>TGNGNN87C16E388I</v>
      </c>
      <c r="N58" s="5" t="s">
        <v>130</v>
      </c>
      <c r="O58" s="5" t="s">
        <v>128</v>
      </c>
      <c r="P58" s="6">
        <v>44166</v>
      </c>
      <c r="Q58" s="5" t="s">
        <v>30</v>
      </c>
      <c r="R58" s="5" t="s">
        <v>31</v>
      </c>
      <c r="S58" s="5" t="s">
        <v>32</v>
      </c>
      <c r="T58" s="5"/>
      <c r="U58" s="5">
        <v>151.66</v>
      </c>
      <c r="V58" s="5">
        <v>65.400000000000006</v>
      </c>
      <c r="W58" s="5">
        <v>60.39</v>
      </c>
      <c r="X58" s="5">
        <v>0</v>
      </c>
      <c r="Y58" s="5">
        <v>25.87</v>
      </c>
    </row>
    <row r="59" spans="1:25" ht="24.75" x14ac:dyDescent="0.25">
      <c r="A59" s="5" t="s">
        <v>26</v>
      </c>
      <c r="B59" s="5" t="s">
        <v>37</v>
      </c>
      <c r="C59" s="5" t="s">
        <v>44</v>
      </c>
      <c r="D59" s="5" t="s">
        <v>45</v>
      </c>
      <c r="E59" s="5" t="s">
        <v>27</v>
      </c>
      <c r="F59" s="5" t="s">
        <v>27</v>
      </c>
      <c r="G59" s="5">
        <v>2019</v>
      </c>
      <c r="H59" s="5" t="str">
        <f>_xlfn.CONCAT("94240164403")</f>
        <v>94240164403</v>
      </c>
      <c r="I59" s="5" t="s">
        <v>28</v>
      </c>
      <c r="J59" s="5" t="s">
        <v>29</v>
      </c>
      <c r="K59" s="5" t="str">
        <f>_xlfn.CONCAT("")</f>
        <v/>
      </c>
      <c r="L59" s="5" t="str">
        <f>_xlfn.CONCAT("11 11.2 4b")</f>
        <v>11 11.2 4b</v>
      </c>
      <c r="M59" s="5" t="str">
        <f>_xlfn.CONCAT("MLNGPP49H52C877H")</f>
        <v>MLNGPP49H52C877H</v>
      </c>
      <c r="N59" s="5" t="s">
        <v>131</v>
      </c>
      <c r="O59" s="5" t="s">
        <v>128</v>
      </c>
      <c r="P59" s="6">
        <v>44166</v>
      </c>
      <c r="Q59" s="5" t="s">
        <v>30</v>
      </c>
      <c r="R59" s="5" t="s">
        <v>31</v>
      </c>
      <c r="S59" s="5" t="s">
        <v>32</v>
      </c>
      <c r="T59" s="5"/>
      <c r="U59" s="7">
        <v>1127.69</v>
      </c>
      <c r="V59" s="5">
        <v>486.26</v>
      </c>
      <c r="W59" s="5">
        <v>449.05</v>
      </c>
      <c r="X59" s="5">
        <v>0</v>
      </c>
      <c r="Y59" s="5">
        <v>192.38</v>
      </c>
    </row>
    <row r="60" spans="1:25" ht="24.75" x14ac:dyDescent="0.25">
      <c r="A60" s="5" t="s">
        <v>26</v>
      </c>
      <c r="B60" s="5" t="s">
        <v>37</v>
      </c>
      <c r="C60" s="5" t="s">
        <v>44</v>
      </c>
      <c r="D60" s="5" t="s">
        <v>55</v>
      </c>
      <c r="E60" s="5" t="s">
        <v>35</v>
      </c>
      <c r="F60" s="5" t="s">
        <v>122</v>
      </c>
      <c r="G60" s="5">
        <v>2019</v>
      </c>
      <c r="H60" s="5" t="str">
        <f>_xlfn.CONCAT("94240529423")</f>
        <v>94240529423</v>
      </c>
      <c r="I60" s="5" t="s">
        <v>28</v>
      </c>
      <c r="J60" s="5" t="s">
        <v>29</v>
      </c>
      <c r="K60" s="5" t="str">
        <f>_xlfn.CONCAT("")</f>
        <v/>
      </c>
      <c r="L60" s="5" t="str">
        <f>_xlfn.CONCAT("11 11.2 4b")</f>
        <v>11 11.2 4b</v>
      </c>
      <c r="M60" s="5" t="str">
        <f>_xlfn.CONCAT("00078000429")</f>
        <v>00078000429</v>
      </c>
      <c r="N60" s="5" t="s">
        <v>132</v>
      </c>
      <c r="O60" s="5" t="s">
        <v>128</v>
      </c>
      <c r="P60" s="6">
        <v>44166</v>
      </c>
      <c r="Q60" s="5" t="s">
        <v>30</v>
      </c>
      <c r="R60" s="5" t="s">
        <v>31</v>
      </c>
      <c r="S60" s="5" t="s">
        <v>32</v>
      </c>
      <c r="T60" s="5"/>
      <c r="U60" s="5">
        <v>24.18</v>
      </c>
      <c r="V60" s="5">
        <v>10.43</v>
      </c>
      <c r="W60" s="5">
        <v>9.6300000000000008</v>
      </c>
      <c r="X60" s="5">
        <v>0</v>
      </c>
      <c r="Y60" s="5">
        <v>4.12</v>
      </c>
    </row>
    <row r="61" spans="1:25" ht="24.75" x14ac:dyDescent="0.25">
      <c r="A61" s="5" t="s">
        <v>26</v>
      </c>
      <c r="B61" s="5" t="s">
        <v>37</v>
      </c>
      <c r="C61" s="5" t="s">
        <v>44</v>
      </c>
      <c r="D61" s="5" t="s">
        <v>59</v>
      </c>
      <c r="E61" s="5" t="s">
        <v>43</v>
      </c>
      <c r="F61" s="5" t="s">
        <v>133</v>
      </c>
      <c r="G61" s="5">
        <v>2019</v>
      </c>
      <c r="H61" s="5" t="str">
        <f>_xlfn.CONCAT("94240977440")</f>
        <v>94240977440</v>
      </c>
      <c r="I61" s="5" t="s">
        <v>28</v>
      </c>
      <c r="J61" s="5" t="s">
        <v>29</v>
      </c>
      <c r="K61" s="5" t="str">
        <f>_xlfn.CONCAT("")</f>
        <v/>
      </c>
      <c r="L61" s="5" t="str">
        <f>_xlfn.CONCAT("11 11.2 4b")</f>
        <v>11 11.2 4b</v>
      </c>
      <c r="M61" s="5" t="str">
        <f>_xlfn.CONCAT("PCAFLV74E25H294H")</f>
        <v>PCAFLV74E25H294H</v>
      </c>
      <c r="N61" s="5" t="s">
        <v>134</v>
      </c>
      <c r="O61" s="5" t="s">
        <v>128</v>
      </c>
      <c r="P61" s="6">
        <v>44166</v>
      </c>
      <c r="Q61" s="5" t="s">
        <v>30</v>
      </c>
      <c r="R61" s="5" t="s">
        <v>31</v>
      </c>
      <c r="S61" s="5" t="s">
        <v>32</v>
      </c>
      <c r="T61" s="5"/>
      <c r="U61" s="7">
        <v>6529.72</v>
      </c>
      <c r="V61" s="7">
        <v>2815.62</v>
      </c>
      <c r="W61" s="7">
        <v>2600.13</v>
      </c>
      <c r="X61" s="5">
        <v>0</v>
      </c>
      <c r="Y61" s="7">
        <v>1113.97</v>
      </c>
    </row>
    <row r="62" spans="1:25" ht="24.75" x14ac:dyDescent="0.25">
      <c r="A62" s="5" t="s">
        <v>26</v>
      </c>
      <c r="B62" s="5" t="s">
        <v>37</v>
      </c>
      <c r="C62" s="5" t="s">
        <v>44</v>
      </c>
      <c r="D62" s="5" t="s">
        <v>45</v>
      </c>
      <c r="E62" s="5" t="s">
        <v>27</v>
      </c>
      <c r="F62" s="5" t="s">
        <v>27</v>
      </c>
      <c r="G62" s="5">
        <v>2019</v>
      </c>
      <c r="H62" s="5" t="str">
        <f>_xlfn.CONCAT("94240412414")</f>
        <v>94240412414</v>
      </c>
      <c r="I62" s="5" t="s">
        <v>28</v>
      </c>
      <c r="J62" s="5" t="s">
        <v>29</v>
      </c>
      <c r="K62" s="5" t="str">
        <f>_xlfn.CONCAT("")</f>
        <v/>
      </c>
      <c r="L62" s="5" t="str">
        <f>_xlfn.CONCAT("11 11.2 4b")</f>
        <v>11 11.2 4b</v>
      </c>
      <c r="M62" s="5" t="str">
        <f>_xlfn.CONCAT("NCCRNN81C14H769H")</f>
        <v>NCCRNN81C14H769H</v>
      </c>
      <c r="N62" s="5" t="s">
        <v>129</v>
      </c>
      <c r="O62" s="5" t="s">
        <v>128</v>
      </c>
      <c r="P62" s="6">
        <v>44166</v>
      </c>
      <c r="Q62" s="5" t="s">
        <v>30</v>
      </c>
      <c r="R62" s="5" t="s">
        <v>31</v>
      </c>
      <c r="S62" s="5" t="s">
        <v>32</v>
      </c>
      <c r="T62" s="5"/>
      <c r="U62" s="7">
        <v>1364.68</v>
      </c>
      <c r="V62" s="5">
        <v>588.45000000000005</v>
      </c>
      <c r="W62" s="5">
        <v>543.41999999999996</v>
      </c>
      <c r="X62" s="5">
        <v>0</v>
      </c>
      <c r="Y62" s="5">
        <v>232.81</v>
      </c>
    </row>
    <row r="63" spans="1:25" ht="24.75" x14ac:dyDescent="0.25">
      <c r="A63" s="5" t="s">
        <v>26</v>
      </c>
      <c r="B63" s="5" t="s">
        <v>37</v>
      </c>
      <c r="C63" s="5" t="s">
        <v>44</v>
      </c>
      <c r="D63" s="5" t="s">
        <v>45</v>
      </c>
      <c r="E63" s="5" t="s">
        <v>27</v>
      </c>
      <c r="F63" s="5" t="s">
        <v>27</v>
      </c>
      <c r="G63" s="5">
        <v>2018</v>
      </c>
      <c r="H63" s="5" t="str">
        <f>_xlfn.CONCAT("84241506520")</f>
        <v>84241506520</v>
      </c>
      <c r="I63" s="5" t="s">
        <v>28</v>
      </c>
      <c r="J63" s="5" t="s">
        <v>29</v>
      </c>
      <c r="K63" s="5" t="str">
        <f>_xlfn.CONCAT("")</f>
        <v/>
      </c>
      <c r="L63" s="5" t="str">
        <f>_xlfn.CONCAT("11 11.2 4b")</f>
        <v>11 11.2 4b</v>
      </c>
      <c r="M63" s="5" t="str">
        <f>_xlfn.CONCAT("01511110445")</f>
        <v>01511110445</v>
      </c>
      <c r="N63" s="5" t="s">
        <v>127</v>
      </c>
      <c r="O63" s="5" t="s">
        <v>128</v>
      </c>
      <c r="P63" s="6">
        <v>44166</v>
      </c>
      <c r="Q63" s="5" t="s">
        <v>30</v>
      </c>
      <c r="R63" s="5" t="s">
        <v>31</v>
      </c>
      <c r="S63" s="5" t="s">
        <v>32</v>
      </c>
      <c r="T63" s="5"/>
      <c r="U63" s="5">
        <v>656.92</v>
      </c>
      <c r="V63" s="5">
        <v>283.26</v>
      </c>
      <c r="W63" s="5">
        <v>261.58999999999997</v>
      </c>
      <c r="X63" s="5">
        <v>0</v>
      </c>
      <c r="Y63" s="5">
        <v>112.07</v>
      </c>
    </row>
    <row r="64" spans="1:25" ht="24.75" x14ac:dyDescent="0.25">
      <c r="A64" s="5" t="s">
        <v>26</v>
      </c>
      <c r="B64" s="5" t="s">
        <v>37</v>
      </c>
      <c r="C64" s="5" t="s">
        <v>44</v>
      </c>
      <c r="D64" s="5" t="s">
        <v>59</v>
      </c>
      <c r="E64" s="5" t="s">
        <v>34</v>
      </c>
      <c r="F64" s="5" t="s">
        <v>60</v>
      </c>
      <c r="G64" s="5">
        <v>2019</v>
      </c>
      <c r="H64" s="5" t="str">
        <f>_xlfn.CONCAT("94240469075")</f>
        <v>94240469075</v>
      </c>
      <c r="I64" s="5" t="s">
        <v>28</v>
      </c>
      <c r="J64" s="5" t="s">
        <v>29</v>
      </c>
      <c r="K64" s="5" t="str">
        <f>_xlfn.CONCAT("")</f>
        <v/>
      </c>
      <c r="L64" s="5" t="str">
        <f>_xlfn.CONCAT("11 11.1 4b")</f>
        <v>11 11.1 4b</v>
      </c>
      <c r="M64" s="5" t="str">
        <f>_xlfn.CONCAT("CCCNGL76P12I459W")</f>
        <v>CCCNGL76P12I459W</v>
      </c>
      <c r="N64" s="5" t="s">
        <v>135</v>
      </c>
      <c r="O64" s="5" t="s">
        <v>128</v>
      </c>
      <c r="P64" s="6">
        <v>44166</v>
      </c>
      <c r="Q64" s="5" t="s">
        <v>30</v>
      </c>
      <c r="R64" s="5" t="s">
        <v>31</v>
      </c>
      <c r="S64" s="5" t="s">
        <v>32</v>
      </c>
      <c r="T64" s="5"/>
      <c r="U64" s="7">
        <v>2237.64</v>
      </c>
      <c r="V64" s="5">
        <v>964.87</v>
      </c>
      <c r="W64" s="5">
        <v>891.03</v>
      </c>
      <c r="X64" s="5">
        <v>0</v>
      </c>
      <c r="Y64" s="5">
        <v>381.74</v>
      </c>
    </row>
    <row r="65" spans="1:25" ht="24.75" x14ac:dyDescent="0.25">
      <c r="A65" s="5" t="s">
        <v>26</v>
      </c>
      <c r="B65" s="5" t="s">
        <v>37</v>
      </c>
      <c r="C65" s="5" t="s">
        <v>44</v>
      </c>
      <c r="D65" s="5" t="s">
        <v>45</v>
      </c>
      <c r="E65" s="5" t="s">
        <v>27</v>
      </c>
      <c r="F65" s="5" t="s">
        <v>27</v>
      </c>
      <c r="G65" s="5">
        <v>2018</v>
      </c>
      <c r="H65" s="5" t="str">
        <f>_xlfn.CONCAT("84240410591")</f>
        <v>84240410591</v>
      </c>
      <c r="I65" s="5" t="s">
        <v>28</v>
      </c>
      <c r="J65" s="5" t="s">
        <v>29</v>
      </c>
      <c r="K65" s="5" t="str">
        <f>_xlfn.CONCAT("")</f>
        <v/>
      </c>
      <c r="L65" s="5" t="str">
        <f>_xlfn.CONCAT("11 11.2 4b")</f>
        <v>11 11.2 4b</v>
      </c>
      <c r="M65" s="5" t="str">
        <f>_xlfn.CONCAT("MLNGPP49H52C877H")</f>
        <v>MLNGPP49H52C877H</v>
      </c>
      <c r="N65" s="5" t="s">
        <v>131</v>
      </c>
      <c r="O65" s="5" t="s">
        <v>128</v>
      </c>
      <c r="P65" s="6">
        <v>44166</v>
      </c>
      <c r="Q65" s="5" t="s">
        <v>30</v>
      </c>
      <c r="R65" s="5" t="s">
        <v>31</v>
      </c>
      <c r="S65" s="5" t="s">
        <v>32</v>
      </c>
      <c r="T65" s="5"/>
      <c r="U65" s="7">
        <v>1250.6400000000001</v>
      </c>
      <c r="V65" s="5">
        <v>539.28</v>
      </c>
      <c r="W65" s="5">
        <v>498</v>
      </c>
      <c r="X65" s="5">
        <v>0</v>
      </c>
      <c r="Y65" s="5">
        <v>213.36</v>
      </c>
    </row>
    <row r="66" spans="1:25" ht="24.75" x14ac:dyDescent="0.25">
      <c r="A66" s="5" t="s">
        <v>26</v>
      </c>
      <c r="B66" s="5" t="s">
        <v>37</v>
      </c>
      <c r="C66" s="5" t="s">
        <v>44</v>
      </c>
      <c r="D66" s="5" t="s">
        <v>45</v>
      </c>
      <c r="E66" s="5" t="s">
        <v>38</v>
      </c>
      <c r="F66" s="5" t="s">
        <v>136</v>
      </c>
      <c r="G66" s="5">
        <v>2019</v>
      </c>
      <c r="H66" s="5" t="str">
        <f>_xlfn.CONCAT("94240958754")</f>
        <v>94240958754</v>
      </c>
      <c r="I66" s="5" t="s">
        <v>28</v>
      </c>
      <c r="J66" s="5" t="s">
        <v>29</v>
      </c>
      <c r="K66" s="5" t="str">
        <f>_xlfn.CONCAT("")</f>
        <v/>
      </c>
      <c r="L66" s="5" t="str">
        <f>_xlfn.CONCAT("11 11.1 4b")</f>
        <v>11 11.1 4b</v>
      </c>
      <c r="M66" s="5" t="str">
        <f>_xlfn.CONCAT("NTLPLA67B18G436H")</f>
        <v>NTLPLA67B18G436H</v>
      </c>
      <c r="N66" s="5" t="s">
        <v>137</v>
      </c>
      <c r="O66" s="5" t="s">
        <v>128</v>
      </c>
      <c r="P66" s="6">
        <v>44166</v>
      </c>
      <c r="Q66" s="5" t="s">
        <v>30</v>
      </c>
      <c r="R66" s="5" t="s">
        <v>31</v>
      </c>
      <c r="S66" s="5" t="s">
        <v>32</v>
      </c>
      <c r="T66" s="5"/>
      <c r="U66" s="5">
        <v>56.11</v>
      </c>
      <c r="V66" s="5">
        <v>24.19</v>
      </c>
      <c r="W66" s="5">
        <v>22.34</v>
      </c>
      <c r="X66" s="5">
        <v>0</v>
      </c>
      <c r="Y66" s="5">
        <v>9.58</v>
      </c>
    </row>
    <row r="67" spans="1:25" ht="24.75" x14ac:dyDescent="0.25">
      <c r="A67" s="5" t="s">
        <v>26</v>
      </c>
      <c r="B67" s="5" t="s">
        <v>37</v>
      </c>
      <c r="C67" s="5" t="s">
        <v>44</v>
      </c>
      <c r="D67" s="5" t="s">
        <v>55</v>
      </c>
      <c r="E67" s="5" t="s">
        <v>35</v>
      </c>
      <c r="F67" s="5" t="s">
        <v>122</v>
      </c>
      <c r="G67" s="5">
        <v>2017</v>
      </c>
      <c r="H67" s="5" t="str">
        <f>_xlfn.CONCAT("74240404777")</f>
        <v>74240404777</v>
      </c>
      <c r="I67" s="5" t="s">
        <v>28</v>
      </c>
      <c r="J67" s="5" t="s">
        <v>29</v>
      </c>
      <c r="K67" s="5" t="str">
        <f>_xlfn.CONCAT("")</f>
        <v/>
      </c>
      <c r="L67" s="5" t="str">
        <f>_xlfn.CONCAT("11 11.2 4b")</f>
        <v>11 11.2 4b</v>
      </c>
      <c r="M67" s="5" t="str">
        <f>_xlfn.CONCAT("00078000429")</f>
        <v>00078000429</v>
      </c>
      <c r="N67" s="5" t="s">
        <v>132</v>
      </c>
      <c r="O67" s="5" t="s">
        <v>128</v>
      </c>
      <c r="P67" s="6">
        <v>44166</v>
      </c>
      <c r="Q67" s="5" t="s">
        <v>30</v>
      </c>
      <c r="R67" s="5" t="s">
        <v>31</v>
      </c>
      <c r="S67" s="5" t="s">
        <v>32</v>
      </c>
      <c r="T67" s="5"/>
      <c r="U67" s="7">
        <v>5270.33</v>
      </c>
      <c r="V67" s="7">
        <v>2272.5700000000002</v>
      </c>
      <c r="W67" s="7">
        <v>2098.65</v>
      </c>
      <c r="X67" s="5">
        <v>0</v>
      </c>
      <c r="Y67" s="5">
        <v>899.11</v>
      </c>
    </row>
    <row r="68" spans="1:25" ht="24.75" x14ac:dyDescent="0.25">
      <c r="A68" s="5" t="s">
        <v>26</v>
      </c>
      <c r="B68" s="5" t="s">
        <v>37</v>
      </c>
      <c r="C68" s="5" t="s">
        <v>44</v>
      </c>
      <c r="D68" s="5" t="s">
        <v>55</v>
      </c>
      <c r="E68" s="5" t="s">
        <v>35</v>
      </c>
      <c r="F68" s="5" t="s">
        <v>122</v>
      </c>
      <c r="G68" s="5">
        <v>2018</v>
      </c>
      <c r="H68" s="5" t="str">
        <f>_xlfn.CONCAT("84240135594")</f>
        <v>84240135594</v>
      </c>
      <c r="I68" s="5" t="s">
        <v>28</v>
      </c>
      <c r="J68" s="5" t="s">
        <v>29</v>
      </c>
      <c r="K68" s="5" t="str">
        <f>_xlfn.CONCAT("")</f>
        <v/>
      </c>
      <c r="L68" s="5" t="str">
        <f>_xlfn.CONCAT("11 11.2 4b")</f>
        <v>11 11.2 4b</v>
      </c>
      <c r="M68" s="5" t="str">
        <f>_xlfn.CONCAT("00078000429")</f>
        <v>00078000429</v>
      </c>
      <c r="N68" s="5" t="s">
        <v>132</v>
      </c>
      <c r="O68" s="5" t="s">
        <v>128</v>
      </c>
      <c r="P68" s="6">
        <v>44166</v>
      </c>
      <c r="Q68" s="5" t="s">
        <v>30</v>
      </c>
      <c r="R68" s="5" t="s">
        <v>31</v>
      </c>
      <c r="S68" s="5" t="s">
        <v>32</v>
      </c>
      <c r="T68" s="5"/>
      <c r="U68" s="7">
        <v>3788.19</v>
      </c>
      <c r="V68" s="7">
        <v>1633.47</v>
      </c>
      <c r="W68" s="7">
        <v>1508.46</v>
      </c>
      <c r="X68" s="5">
        <v>0</v>
      </c>
      <c r="Y68" s="5">
        <v>646.26</v>
      </c>
    </row>
    <row r="69" spans="1:25" ht="24.75" x14ac:dyDescent="0.25">
      <c r="A69" s="5" t="s">
        <v>26</v>
      </c>
      <c r="B69" s="5" t="s">
        <v>37</v>
      </c>
      <c r="C69" s="5" t="s">
        <v>44</v>
      </c>
      <c r="D69" s="5" t="s">
        <v>59</v>
      </c>
      <c r="E69" s="5" t="s">
        <v>34</v>
      </c>
      <c r="F69" s="5" t="s">
        <v>138</v>
      </c>
      <c r="G69" s="5">
        <v>2018</v>
      </c>
      <c r="H69" s="5" t="str">
        <f>_xlfn.CONCAT("84241678402")</f>
        <v>84241678402</v>
      </c>
      <c r="I69" s="5" t="s">
        <v>28</v>
      </c>
      <c r="J69" s="5" t="s">
        <v>29</v>
      </c>
      <c r="K69" s="5" t="str">
        <f>_xlfn.CONCAT("")</f>
        <v/>
      </c>
      <c r="L69" s="5" t="str">
        <f>_xlfn.CONCAT("11 11.2 4b")</f>
        <v>11 11.2 4b</v>
      </c>
      <c r="M69" s="5" t="str">
        <f>_xlfn.CONCAT("RFFJCB96T25L500S")</f>
        <v>RFFJCB96T25L500S</v>
      </c>
      <c r="N69" s="5" t="s">
        <v>139</v>
      </c>
      <c r="O69" s="5" t="s">
        <v>128</v>
      </c>
      <c r="P69" s="6">
        <v>44166</v>
      </c>
      <c r="Q69" s="5" t="s">
        <v>30</v>
      </c>
      <c r="R69" s="5" t="s">
        <v>31</v>
      </c>
      <c r="S69" s="5" t="s">
        <v>32</v>
      </c>
      <c r="T69" s="5"/>
      <c r="U69" s="7">
        <v>8942.5</v>
      </c>
      <c r="V69" s="7">
        <v>3856.01</v>
      </c>
      <c r="W69" s="7">
        <v>3560.9</v>
      </c>
      <c r="X69" s="5">
        <v>0</v>
      </c>
      <c r="Y69" s="7">
        <v>1525.59</v>
      </c>
    </row>
    <row r="70" spans="1:25" ht="24.75" x14ac:dyDescent="0.25">
      <c r="A70" s="5" t="s">
        <v>26</v>
      </c>
      <c r="B70" s="5" t="s">
        <v>37</v>
      </c>
      <c r="C70" s="5" t="s">
        <v>44</v>
      </c>
      <c r="D70" s="5" t="s">
        <v>59</v>
      </c>
      <c r="E70" s="5" t="s">
        <v>35</v>
      </c>
      <c r="F70" s="5" t="s">
        <v>140</v>
      </c>
      <c r="G70" s="5">
        <v>2017</v>
      </c>
      <c r="H70" s="5" t="str">
        <f>_xlfn.CONCAT("74240295118")</f>
        <v>74240295118</v>
      </c>
      <c r="I70" s="5" t="s">
        <v>28</v>
      </c>
      <c r="J70" s="5" t="s">
        <v>29</v>
      </c>
      <c r="K70" s="5" t="str">
        <f>_xlfn.CONCAT("")</f>
        <v/>
      </c>
      <c r="L70" s="5" t="str">
        <f>_xlfn.CONCAT("11 11.2 4b")</f>
        <v>11 11.2 4b</v>
      </c>
      <c r="M70" s="5" t="str">
        <f>_xlfn.CONCAT("FRLSFN76R28G479R")</f>
        <v>FRLSFN76R28G479R</v>
      </c>
      <c r="N70" s="5" t="s">
        <v>141</v>
      </c>
      <c r="O70" s="5" t="s">
        <v>128</v>
      </c>
      <c r="P70" s="6">
        <v>44166</v>
      </c>
      <c r="Q70" s="5" t="s">
        <v>30</v>
      </c>
      <c r="R70" s="5" t="s">
        <v>31</v>
      </c>
      <c r="S70" s="5" t="s">
        <v>32</v>
      </c>
      <c r="T70" s="5"/>
      <c r="U70" s="7">
        <v>1359.21</v>
      </c>
      <c r="V70" s="5">
        <v>586.09</v>
      </c>
      <c r="W70" s="5">
        <v>541.24</v>
      </c>
      <c r="X70" s="5">
        <v>0</v>
      </c>
      <c r="Y70" s="5">
        <v>231.88</v>
      </c>
    </row>
    <row r="71" spans="1:25" ht="24.75" x14ac:dyDescent="0.25">
      <c r="A71" s="5" t="s">
        <v>26</v>
      </c>
      <c r="B71" s="5" t="s">
        <v>37</v>
      </c>
      <c r="C71" s="5" t="s">
        <v>44</v>
      </c>
      <c r="D71" s="5" t="s">
        <v>45</v>
      </c>
      <c r="E71" s="5" t="s">
        <v>36</v>
      </c>
      <c r="F71" s="5" t="s">
        <v>96</v>
      </c>
      <c r="G71" s="5">
        <v>2019</v>
      </c>
      <c r="H71" s="5" t="str">
        <f>_xlfn.CONCAT("94240962764")</f>
        <v>94240962764</v>
      </c>
      <c r="I71" s="5" t="s">
        <v>40</v>
      </c>
      <c r="J71" s="5" t="s">
        <v>29</v>
      </c>
      <c r="K71" s="5" t="str">
        <f>_xlfn.CONCAT("")</f>
        <v/>
      </c>
      <c r="L71" s="5" t="str">
        <f>_xlfn.CONCAT("11 11.1 4b")</f>
        <v>11 11.1 4b</v>
      </c>
      <c r="M71" s="5" t="str">
        <f>_xlfn.CONCAT("MNCRNT45E14F379J")</f>
        <v>MNCRNT45E14F379J</v>
      </c>
      <c r="N71" s="5" t="s">
        <v>142</v>
      </c>
      <c r="O71" s="5" t="s">
        <v>143</v>
      </c>
      <c r="P71" s="6">
        <v>44166</v>
      </c>
      <c r="Q71" s="5" t="s">
        <v>30</v>
      </c>
      <c r="R71" s="5" t="s">
        <v>31</v>
      </c>
      <c r="S71" s="5" t="s">
        <v>32</v>
      </c>
      <c r="T71" s="5"/>
      <c r="U71" s="7">
        <v>6668.74</v>
      </c>
      <c r="V71" s="7">
        <v>2875.56</v>
      </c>
      <c r="W71" s="7">
        <v>2655.49</v>
      </c>
      <c r="X71" s="5">
        <v>0</v>
      </c>
      <c r="Y71" s="7">
        <v>1137.69</v>
      </c>
    </row>
    <row r="72" spans="1:25" ht="24.75" x14ac:dyDescent="0.25">
      <c r="A72" s="5" t="s">
        <v>26</v>
      </c>
      <c r="B72" s="5" t="s">
        <v>37</v>
      </c>
      <c r="C72" s="5" t="s">
        <v>44</v>
      </c>
      <c r="D72" s="5" t="s">
        <v>45</v>
      </c>
      <c r="E72" s="5" t="s">
        <v>34</v>
      </c>
      <c r="F72" s="5" t="s">
        <v>144</v>
      </c>
      <c r="G72" s="5">
        <v>2017</v>
      </c>
      <c r="H72" s="5" t="str">
        <f>_xlfn.CONCAT("74240477823")</f>
        <v>74240477823</v>
      </c>
      <c r="I72" s="5" t="s">
        <v>28</v>
      </c>
      <c r="J72" s="5" t="s">
        <v>29</v>
      </c>
      <c r="K72" s="5" t="str">
        <f>_xlfn.CONCAT("")</f>
        <v/>
      </c>
      <c r="L72" s="5" t="str">
        <f>_xlfn.CONCAT("10 10.1 4b")</f>
        <v>10 10.1 4b</v>
      </c>
      <c r="M72" s="5" t="str">
        <f>_xlfn.CONCAT("CRLTLL48P08F415X")</f>
        <v>CRLTLL48P08F415X</v>
      </c>
      <c r="N72" s="5" t="s">
        <v>145</v>
      </c>
      <c r="O72" s="5" t="s">
        <v>146</v>
      </c>
      <c r="P72" s="6">
        <v>44166</v>
      </c>
      <c r="Q72" s="5" t="s">
        <v>30</v>
      </c>
      <c r="R72" s="5" t="s">
        <v>31</v>
      </c>
      <c r="S72" s="5" t="s">
        <v>32</v>
      </c>
      <c r="T72" s="5"/>
      <c r="U72" s="7">
        <v>4690.3599999999997</v>
      </c>
      <c r="V72" s="7">
        <v>2022.48</v>
      </c>
      <c r="W72" s="7">
        <v>1867.7</v>
      </c>
      <c r="X72" s="5">
        <v>0</v>
      </c>
      <c r="Y72" s="5">
        <v>800.18</v>
      </c>
    </row>
    <row r="73" spans="1:25" ht="24.75" x14ac:dyDescent="0.25">
      <c r="A73" s="5" t="s">
        <v>26</v>
      </c>
      <c r="B73" s="5" t="s">
        <v>37</v>
      </c>
      <c r="C73" s="5" t="s">
        <v>44</v>
      </c>
      <c r="D73" s="5" t="s">
        <v>45</v>
      </c>
      <c r="E73" s="5" t="s">
        <v>34</v>
      </c>
      <c r="F73" s="5" t="s">
        <v>147</v>
      </c>
      <c r="G73" s="5">
        <v>2018</v>
      </c>
      <c r="H73" s="5" t="str">
        <f>_xlfn.CONCAT("84240549174")</f>
        <v>84240549174</v>
      </c>
      <c r="I73" s="5" t="s">
        <v>28</v>
      </c>
      <c r="J73" s="5" t="s">
        <v>29</v>
      </c>
      <c r="K73" s="5" t="str">
        <f>_xlfn.CONCAT("")</f>
        <v/>
      </c>
      <c r="L73" s="5" t="str">
        <f>_xlfn.CONCAT("11 11.1 4b")</f>
        <v>11 11.1 4b</v>
      </c>
      <c r="M73" s="5" t="str">
        <f>_xlfn.CONCAT("DLTRRT76D19I324Y")</f>
        <v>DLTRRT76D19I324Y</v>
      </c>
      <c r="N73" s="5" t="s">
        <v>148</v>
      </c>
      <c r="O73" s="5" t="s">
        <v>128</v>
      </c>
      <c r="P73" s="6">
        <v>44166</v>
      </c>
      <c r="Q73" s="5" t="s">
        <v>30</v>
      </c>
      <c r="R73" s="5" t="s">
        <v>31</v>
      </c>
      <c r="S73" s="5" t="s">
        <v>32</v>
      </c>
      <c r="T73" s="5"/>
      <c r="U73" s="5">
        <v>476.91</v>
      </c>
      <c r="V73" s="5">
        <v>205.64</v>
      </c>
      <c r="W73" s="5">
        <v>189.91</v>
      </c>
      <c r="X73" s="5">
        <v>0</v>
      </c>
      <c r="Y73" s="5">
        <v>81.36</v>
      </c>
    </row>
    <row r="74" spans="1:25" ht="24.75" x14ac:dyDescent="0.25">
      <c r="A74" s="5" t="s">
        <v>26</v>
      </c>
      <c r="B74" s="5" t="s">
        <v>37</v>
      </c>
      <c r="C74" s="5" t="s">
        <v>44</v>
      </c>
      <c r="D74" s="5" t="s">
        <v>45</v>
      </c>
      <c r="E74" s="5" t="s">
        <v>34</v>
      </c>
      <c r="F74" s="5" t="s">
        <v>147</v>
      </c>
      <c r="G74" s="5">
        <v>2019</v>
      </c>
      <c r="H74" s="5" t="str">
        <f>_xlfn.CONCAT("94240652068")</f>
        <v>94240652068</v>
      </c>
      <c r="I74" s="5" t="s">
        <v>28</v>
      </c>
      <c r="J74" s="5" t="s">
        <v>29</v>
      </c>
      <c r="K74" s="5" t="str">
        <f>_xlfn.CONCAT("")</f>
        <v/>
      </c>
      <c r="L74" s="5" t="str">
        <f>_xlfn.CONCAT("11 11.1 4b")</f>
        <v>11 11.1 4b</v>
      </c>
      <c r="M74" s="5" t="str">
        <f>_xlfn.CONCAT("DLTRRT76D19I324Y")</f>
        <v>DLTRRT76D19I324Y</v>
      </c>
      <c r="N74" s="5" t="s">
        <v>148</v>
      </c>
      <c r="O74" s="5" t="s">
        <v>128</v>
      </c>
      <c r="P74" s="6">
        <v>44166</v>
      </c>
      <c r="Q74" s="5" t="s">
        <v>30</v>
      </c>
      <c r="R74" s="5" t="s">
        <v>31</v>
      </c>
      <c r="S74" s="5" t="s">
        <v>32</v>
      </c>
      <c r="T74" s="5"/>
      <c r="U74" s="5">
        <v>527.39</v>
      </c>
      <c r="V74" s="5">
        <v>227.41</v>
      </c>
      <c r="W74" s="5">
        <v>210.01</v>
      </c>
      <c r="X74" s="5">
        <v>0</v>
      </c>
      <c r="Y74" s="5">
        <v>89.97</v>
      </c>
    </row>
    <row r="75" spans="1:25" ht="24.75" x14ac:dyDescent="0.25">
      <c r="A75" s="5" t="s">
        <v>26</v>
      </c>
      <c r="B75" s="5" t="s">
        <v>37</v>
      </c>
      <c r="C75" s="5" t="s">
        <v>44</v>
      </c>
      <c r="D75" s="5" t="s">
        <v>45</v>
      </c>
      <c r="E75" s="5" t="s">
        <v>34</v>
      </c>
      <c r="F75" s="5" t="s">
        <v>46</v>
      </c>
      <c r="G75" s="5">
        <v>2019</v>
      </c>
      <c r="H75" s="5" t="str">
        <f>_xlfn.CONCAT("94240709405")</f>
        <v>94240709405</v>
      </c>
      <c r="I75" s="5" t="s">
        <v>28</v>
      </c>
      <c r="J75" s="5" t="s">
        <v>29</v>
      </c>
      <c r="K75" s="5" t="str">
        <f>_xlfn.CONCAT("")</f>
        <v/>
      </c>
      <c r="L75" s="5" t="str">
        <f>_xlfn.CONCAT("11 11.2 4b")</f>
        <v>11 11.2 4b</v>
      </c>
      <c r="M75" s="5" t="str">
        <f>_xlfn.CONCAT("DGRMRN74B11D096A")</f>
        <v>DGRMRN74B11D096A</v>
      </c>
      <c r="N75" s="5" t="s">
        <v>149</v>
      </c>
      <c r="O75" s="5" t="s">
        <v>128</v>
      </c>
      <c r="P75" s="6">
        <v>44166</v>
      </c>
      <c r="Q75" s="5" t="s">
        <v>30</v>
      </c>
      <c r="R75" s="5" t="s">
        <v>31</v>
      </c>
      <c r="S75" s="5" t="s">
        <v>32</v>
      </c>
      <c r="T75" s="5"/>
      <c r="U75" s="5">
        <v>410.11</v>
      </c>
      <c r="V75" s="5">
        <v>176.84</v>
      </c>
      <c r="W75" s="5">
        <v>163.31</v>
      </c>
      <c r="X75" s="5">
        <v>0</v>
      </c>
      <c r="Y75" s="5">
        <v>69.959999999999994</v>
      </c>
    </row>
    <row r="76" spans="1:25" ht="24.75" x14ac:dyDescent="0.25">
      <c r="A76" s="5" t="s">
        <v>26</v>
      </c>
      <c r="B76" s="5" t="s">
        <v>37</v>
      </c>
      <c r="C76" s="5" t="s">
        <v>44</v>
      </c>
      <c r="D76" s="5" t="s">
        <v>55</v>
      </c>
      <c r="E76" s="5" t="s">
        <v>34</v>
      </c>
      <c r="F76" s="5" t="s">
        <v>56</v>
      </c>
      <c r="G76" s="5">
        <v>2019</v>
      </c>
      <c r="H76" s="5" t="str">
        <f>_xlfn.CONCAT("94240325905")</f>
        <v>94240325905</v>
      </c>
      <c r="I76" s="5" t="s">
        <v>28</v>
      </c>
      <c r="J76" s="5" t="s">
        <v>29</v>
      </c>
      <c r="K76" s="5" t="str">
        <f>_xlfn.CONCAT("")</f>
        <v/>
      </c>
      <c r="L76" s="5" t="str">
        <f>_xlfn.CONCAT("11 11.2 4b")</f>
        <v>11 11.2 4b</v>
      </c>
      <c r="M76" s="5" t="str">
        <f>_xlfn.CONCAT("NSNPTR50P29C267R")</f>
        <v>NSNPTR50P29C267R</v>
      </c>
      <c r="N76" s="5" t="s">
        <v>150</v>
      </c>
      <c r="O76" s="5" t="s">
        <v>128</v>
      </c>
      <c r="P76" s="6">
        <v>44166</v>
      </c>
      <c r="Q76" s="5" t="s">
        <v>30</v>
      </c>
      <c r="R76" s="5" t="s">
        <v>31</v>
      </c>
      <c r="S76" s="5" t="s">
        <v>32</v>
      </c>
      <c r="T76" s="5"/>
      <c r="U76" s="7">
        <v>4009.58</v>
      </c>
      <c r="V76" s="7">
        <v>1728.93</v>
      </c>
      <c r="W76" s="7">
        <v>1596.61</v>
      </c>
      <c r="X76" s="5">
        <v>0</v>
      </c>
      <c r="Y76" s="5">
        <v>684.04</v>
      </c>
    </row>
    <row r="77" spans="1:25" ht="24.75" x14ac:dyDescent="0.25">
      <c r="A77" s="5" t="s">
        <v>26</v>
      </c>
      <c r="B77" s="5" t="s">
        <v>37</v>
      </c>
      <c r="C77" s="5" t="s">
        <v>44</v>
      </c>
      <c r="D77" s="5" t="s">
        <v>59</v>
      </c>
      <c r="E77" s="5" t="s">
        <v>34</v>
      </c>
      <c r="F77" s="5" t="s">
        <v>151</v>
      </c>
      <c r="G77" s="5">
        <v>2017</v>
      </c>
      <c r="H77" s="5" t="str">
        <f>_xlfn.CONCAT("74240494174")</f>
        <v>74240494174</v>
      </c>
      <c r="I77" s="5" t="s">
        <v>28</v>
      </c>
      <c r="J77" s="5" t="s">
        <v>29</v>
      </c>
      <c r="K77" s="5" t="str">
        <f>_xlfn.CONCAT("")</f>
        <v/>
      </c>
      <c r="L77" s="5" t="str">
        <f>_xlfn.CONCAT("11 11.1 4b")</f>
        <v>11 11.1 4b</v>
      </c>
      <c r="M77" s="5" t="str">
        <f>_xlfn.CONCAT("FLVFNC72S09B352B")</f>
        <v>FLVFNC72S09B352B</v>
      </c>
      <c r="N77" s="5" t="s">
        <v>152</v>
      </c>
      <c r="O77" s="5" t="s">
        <v>128</v>
      </c>
      <c r="P77" s="6">
        <v>44166</v>
      </c>
      <c r="Q77" s="5" t="s">
        <v>30</v>
      </c>
      <c r="R77" s="5" t="s">
        <v>31</v>
      </c>
      <c r="S77" s="5" t="s">
        <v>32</v>
      </c>
      <c r="T77" s="5"/>
      <c r="U77" s="5">
        <v>771.78</v>
      </c>
      <c r="V77" s="5">
        <v>332.79</v>
      </c>
      <c r="W77" s="5">
        <v>307.32</v>
      </c>
      <c r="X77" s="5">
        <v>0</v>
      </c>
      <c r="Y77" s="5">
        <v>131.66999999999999</v>
      </c>
    </row>
    <row r="78" spans="1:25" ht="24.75" x14ac:dyDescent="0.25">
      <c r="A78" s="5" t="s">
        <v>26</v>
      </c>
      <c r="B78" s="5" t="s">
        <v>37</v>
      </c>
      <c r="C78" s="5" t="s">
        <v>44</v>
      </c>
      <c r="D78" s="5" t="s">
        <v>59</v>
      </c>
      <c r="E78" s="5" t="s">
        <v>34</v>
      </c>
      <c r="F78" s="5" t="s">
        <v>151</v>
      </c>
      <c r="G78" s="5">
        <v>2019</v>
      </c>
      <c r="H78" s="5" t="str">
        <f>_xlfn.CONCAT("94240968209")</f>
        <v>94240968209</v>
      </c>
      <c r="I78" s="5" t="s">
        <v>40</v>
      </c>
      <c r="J78" s="5" t="s">
        <v>29</v>
      </c>
      <c r="K78" s="5" t="str">
        <f>_xlfn.CONCAT("")</f>
        <v/>
      </c>
      <c r="L78" s="5" t="str">
        <f>_xlfn.CONCAT("11 11.1 4b")</f>
        <v>11 11.1 4b</v>
      </c>
      <c r="M78" s="5" t="str">
        <f>_xlfn.CONCAT("FLVFNC72S09B352B")</f>
        <v>FLVFNC72S09B352B</v>
      </c>
      <c r="N78" s="5" t="s">
        <v>152</v>
      </c>
      <c r="O78" s="5" t="s">
        <v>128</v>
      </c>
      <c r="P78" s="6">
        <v>44166</v>
      </c>
      <c r="Q78" s="5" t="s">
        <v>30</v>
      </c>
      <c r="R78" s="5" t="s">
        <v>31</v>
      </c>
      <c r="S78" s="5" t="s">
        <v>32</v>
      </c>
      <c r="T78" s="5"/>
      <c r="U78" s="7">
        <v>4563.2</v>
      </c>
      <c r="V78" s="7">
        <v>1967.65</v>
      </c>
      <c r="W78" s="7">
        <v>1817.07</v>
      </c>
      <c r="X78" s="5">
        <v>0</v>
      </c>
      <c r="Y78" s="5">
        <v>778.48</v>
      </c>
    </row>
    <row r="79" spans="1:25" ht="24.75" x14ac:dyDescent="0.25">
      <c r="A79" s="5" t="s">
        <v>26</v>
      </c>
      <c r="B79" s="5" t="s">
        <v>37</v>
      </c>
      <c r="C79" s="5" t="s">
        <v>44</v>
      </c>
      <c r="D79" s="5" t="s">
        <v>45</v>
      </c>
      <c r="E79" s="5" t="s">
        <v>34</v>
      </c>
      <c r="F79" s="5" t="s">
        <v>144</v>
      </c>
      <c r="G79" s="5">
        <v>2018</v>
      </c>
      <c r="H79" s="5" t="str">
        <f>_xlfn.CONCAT("84240787493")</f>
        <v>84240787493</v>
      </c>
      <c r="I79" s="5" t="s">
        <v>28</v>
      </c>
      <c r="J79" s="5" t="s">
        <v>29</v>
      </c>
      <c r="K79" s="5" t="str">
        <f>_xlfn.CONCAT("")</f>
        <v/>
      </c>
      <c r="L79" s="5" t="str">
        <f>_xlfn.CONCAT("10 10.1 4b")</f>
        <v>10 10.1 4b</v>
      </c>
      <c r="M79" s="5" t="str">
        <f>_xlfn.CONCAT("CRLMRC78A03H769C")</f>
        <v>CRLMRC78A03H769C</v>
      </c>
      <c r="N79" s="5" t="s">
        <v>153</v>
      </c>
      <c r="O79" s="5" t="s">
        <v>146</v>
      </c>
      <c r="P79" s="6">
        <v>44166</v>
      </c>
      <c r="Q79" s="5" t="s">
        <v>30</v>
      </c>
      <c r="R79" s="5" t="s">
        <v>31</v>
      </c>
      <c r="S79" s="5" t="s">
        <v>32</v>
      </c>
      <c r="T79" s="5"/>
      <c r="U79" s="7">
        <v>4700.16</v>
      </c>
      <c r="V79" s="7">
        <v>2026.71</v>
      </c>
      <c r="W79" s="7">
        <v>1871.6</v>
      </c>
      <c r="X79" s="5">
        <v>0</v>
      </c>
      <c r="Y79" s="5">
        <v>801.85</v>
      </c>
    </row>
    <row r="80" spans="1:25" ht="24.75" x14ac:dyDescent="0.25">
      <c r="A80" s="5" t="s">
        <v>26</v>
      </c>
      <c r="B80" s="5" t="s">
        <v>37</v>
      </c>
      <c r="C80" s="5" t="s">
        <v>44</v>
      </c>
      <c r="D80" s="5" t="s">
        <v>45</v>
      </c>
      <c r="E80" s="5" t="s">
        <v>34</v>
      </c>
      <c r="F80" s="5" t="s">
        <v>144</v>
      </c>
      <c r="G80" s="5">
        <v>2019</v>
      </c>
      <c r="H80" s="5" t="str">
        <f>_xlfn.CONCAT("94240692007")</f>
        <v>94240692007</v>
      </c>
      <c r="I80" s="5" t="s">
        <v>28</v>
      </c>
      <c r="J80" s="5" t="s">
        <v>29</v>
      </c>
      <c r="K80" s="5" t="str">
        <f>_xlfn.CONCAT("")</f>
        <v/>
      </c>
      <c r="L80" s="5" t="str">
        <f>_xlfn.CONCAT("10 10.1 4b")</f>
        <v>10 10.1 4b</v>
      </c>
      <c r="M80" s="5" t="str">
        <f>_xlfn.CONCAT("CRLMRC78A03H769C")</f>
        <v>CRLMRC78A03H769C</v>
      </c>
      <c r="N80" s="5" t="s">
        <v>153</v>
      </c>
      <c r="O80" s="5" t="s">
        <v>146</v>
      </c>
      <c r="P80" s="6">
        <v>44166</v>
      </c>
      <c r="Q80" s="5" t="s">
        <v>30</v>
      </c>
      <c r="R80" s="5" t="s">
        <v>31</v>
      </c>
      <c r="S80" s="5" t="s">
        <v>32</v>
      </c>
      <c r="T80" s="5"/>
      <c r="U80" s="7">
        <v>4700.16</v>
      </c>
      <c r="V80" s="7">
        <v>2026.71</v>
      </c>
      <c r="W80" s="7">
        <v>1871.6</v>
      </c>
      <c r="X80" s="5">
        <v>0</v>
      </c>
      <c r="Y80" s="5">
        <v>801.85</v>
      </c>
    </row>
    <row r="81" spans="1:25" x14ac:dyDescent="0.25">
      <c r="A81" s="5" t="s">
        <v>26</v>
      </c>
      <c r="B81" s="5" t="s">
        <v>37</v>
      </c>
      <c r="C81" s="5" t="s">
        <v>44</v>
      </c>
      <c r="D81" s="5" t="s">
        <v>49</v>
      </c>
      <c r="E81" s="5" t="s">
        <v>38</v>
      </c>
      <c r="F81" s="5" t="s">
        <v>115</v>
      </c>
      <c r="G81" s="5">
        <v>2018</v>
      </c>
      <c r="H81" s="5" t="str">
        <f>_xlfn.CONCAT("84241012883")</f>
        <v>84241012883</v>
      </c>
      <c r="I81" s="5" t="s">
        <v>40</v>
      </c>
      <c r="J81" s="5" t="s">
        <v>29</v>
      </c>
      <c r="K81" s="5" t="str">
        <f>_xlfn.CONCAT("")</f>
        <v/>
      </c>
      <c r="L81" s="5" t="str">
        <f>_xlfn.CONCAT("14 14.1 3a")</f>
        <v>14 14.1 3a</v>
      </c>
      <c r="M81" s="5" t="str">
        <f>_xlfn.CONCAT("MPCLSN97R22E783X")</f>
        <v>MPCLSN97R22E783X</v>
      </c>
      <c r="N81" s="5" t="s">
        <v>154</v>
      </c>
      <c r="O81" s="5" t="s">
        <v>155</v>
      </c>
      <c r="P81" s="6">
        <v>44166</v>
      </c>
      <c r="Q81" s="5" t="s">
        <v>30</v>
      </c>
      <c r="R81" s="5" t="s">
        <v>31</v>
      </c>
      <c r="S81" s="5" t="s">
        <v>32</v>
      </c>
      <c r="T81" s="5"/>
      <c r="U81" s="7">
        <v>1361.6</v>
      </c>
      <c r="V81" s="5">
        <v>587.12</v>
      </c>
      <c r="W81" s="5">
        <v>542.19000000000005</v>
      </c>
      <c r="X81" s="5">
        <v>0</v>
      </c>
      <c r="Y81" s="5">
        <v>232.29</v>
      </c>
    </row>
    <row r="82" spans="1:25" x14ac:dyDescent="0.25">
      <c r="A82" s="5" t="s">
        <v>26</v>
      </c>
      <c r="B82" s="5" t="s">
        <v>37</v>
      </c>
      <c r="C82" s="5" t="s">
        <v>44</v>
      </c>
      <c r="D82" s="5" t="s">
        <v>49</v>
      </c>
      <c r="E82" s="5" t="s">
        <v>38</v>
      </c>
      <c r="F82" s="5" t="s">
        <v>136</v>
      </c>
      <c r="G82" s="5">
        <v>2018</v>
      </c>
      <c r="H82" s="5" t="str">
        <f>_xlfn.CONCAT("84241679053")</f>
        <v>84241679053</v>
      </c>
      <c r="I82" s="5" t="s">
        <v>28</v>
      </c>
      <c r="J82" s="5" t="s">
        <v>29</v>
      </c>
      <c r="K82" s="5" t="str">
        <f>_xlfn.CONCAT("")</f>
        <v/>
      </c>
      <c r="L82" s="5" t="str">
        <f>_xlfn.CONCAT("11 11.1 4b")</f>
        <v>11 11.1 4b</v>
      </c>
      <c r="M82" s="5" t="str">
        <f>_xlfn.CONCAT("01942960434")</f>
        <v>01942960434</v>
      </c>
      <c r="N82" s="5" t="s">
        <v>156</v>
      </c>
      <c r="O82" s="5" t="s">
        <v>157</v>
      </c>
      <c r="P82" s="6">
        <v>44166</v>
      </c>
      <c r="Q82" s="5" t="s">
        <v>30</v>
      </c>
      <c r="R82" s="5" t="s">
        <v>31</v>
      </c>
      <c r="S82" s="5" t="s">
        <v>32</v>
      </c>
      <c r="T82" s="5"/>
      <c r="U82" s="7">
        <v>1657.76</v>
      </c>
      <c r="V82" s="5">
        <v>714.83</v>
      </c>
      <c r="W82" s="5">
        <v>660.12</v>
      </c>
      <c r="X82" s="5">
        <v>0</v>
      </c>
      <c r="Y82" s="5">
        <v>282.81</v>
      </c>
    </row>
    <row r="83" spans="1:25" x14ac:dyDescent="0.25">
      <c r="A83" s="5" t="s">
        <v>26</v>
      </c>
      <c r="B83" s="5" t="s">
        <v>37</v>
      </c>
      <c r="C83" s="5" t="s">
        <v>44</v>
      </c>
      <c r="D83" s="5" t="s">
        <v>49</v>
      </c>
      <c r="E83" s="5" t="s">
        <v>34</v>
      </c>
      <c r="F83" s="5" t="s">
        <v>113</v>
      </c>
      <c r="G83" s="5">
        <v>2018</v>
      </c>
      <c r="H83" s="5" t="str">
        <f>_xlfn.CONCAT("84240105712")</f>
        <v>84240105712</v>
      </c>
      <c r="I83" s="5" t="s">
        <v>28</v>
      </c>
      <c r="J83" s="5" t="s">
        <v>29</v>
      </c>
      <c r="K83" s="5" t="str">
        <f>_xlfn.CONCAT("")</f>
        <v/>
      </c>
      <c r="L83" s="5" t="str">
        <f>_xlfn.CONCAT("11 11.2 4b")</f>
        <v>11 11.2 4b</v>
      </c>
      <c r="M83" s="5" t="str">
        <f>_xlfn.CONCAT("CCCFNC67P11I156P")</f>
        <v>CCCFNC67P11I156P</v>
      </c>
      <c r="N83" s="5" t="s">
        <v>158</v>
      </c>
      <c r="O83" s="5" t="s">
        <v>157</v>
      </c>
      <c r="P83" s="6">
        <v>44166</v>
      </c>
      <c r="Q83" s="5" t="s">
        <v>30</v>
      </c>
      <c r="R83" s="5" t="s">
        <v>31</v>
      </c>
      <c r="S83" s="5" t="s">
        <v>32</v>
      </c>
      <c r="T83" s="5"/>
      <c r="U83" s="5">
        <v>340.2</v>
      </c>
      <c r="V83" s="5">
        <v>146.69</v>
      </c>
      <c r="W83" s="5">
        <v>135.47</v>
      </c>
      <c r="X83" s="5">
        <v>0</v>
      </c>
      <c r="Y83" s="5">
        <v>58.04</v>
      </c>
    </row>
    <row r="84" spans="1:25" x14ac:dyDescent="0.25">
      <c r="A84" s="5" t="s">
        <v>26</v>
      </c>
      <c r="B84" s="5" t="s">
        <v>37</v>
      </c>
      <c r="C84" s="5" t="s">
        <v>44</v>
      </c>
      <c r="D84" s="5" t="s">
        <v>49</v>
      </c>
      <c r="E84" s="5" t="s">
        <v>34</v>
      </c>
      <c r="F84" s="5" t="s">
        <v>113</v>
      </c>
      <c r="G84" s="5">
        <v>2018</v>
      </c>
      <c r="H84" s="5" t="str">
        <f>_xlfn.CONCAT("84240335111")</f>
        <v>84240335111</v>
      </c>
      <c r="I84" s="5" t="s">
        <v>40</v>
      </c>
      <c r="J84" s="5" t="s">
        <v>29</v>
      </c>
      <c r="K84" s="5" t="str">
        <f>_xlfn.CONCAT("")</f>
        <v/>
      </c>
      <c r="L84" s="5" t="str">
        <f>_xlfn.CONCAT("11 11.1 4b")</f>
        <v>11 11.1 4b</v>
      </c>
      <c r="M84" s="5" t="str">
        <f>_xlfn.CONCAT("CRSSRA89H64B474Q")</f>
        <v>CRSSRA89H64B474Q</v>
      </c>
      <c r="N84" s="5" t="s">
        <v>159</v>
      </c>
      <c r="O84" s="5" t="s">
        <v>157</v>
      </c>
      <c r="P84" s="6">
        <v>44166</v>
      </c>
      <c r="Q84" s="5" t="s">
        <v>30</v>
      </c>
      <c r="R84" s="5" t="s">
        <v>31</v>
      </c>
      <c r="S84" s="5" t="s">
        <v>32</v>
      </c>
      <c r="T84" s="5"/>
      <c r="U84" s="7">
        <v>2367.58</v>
      </c>
      <c r="V84" s="7">
        <v>1020.9</v>
      </c>
      <c r="W84" s="5">
        <v>942.77</v>
      </c>
      <c r="X84" s="5">
        <v>0</v>
      </c>
      <c r="Y84" s="5">
        <v>403.91</v>
      </c>
    </row>
    <row r="85" spans="1:25" x14ac:dyDescent="0.25">
      <c r="A85" s="5" t="s">
        <v>26</v>
      </c>
      <c r="B85" s="5" t="s">
        <v>37</v>
      </c>
      <c r="C85" s="5" t="s">
        <v>44</v>
      </c>
      <c r="D85" s="5" t="s">
        <v>49</v>
      </c>
      <c r="E85" s="5" t="s">
        <v>38</v>
      </c>
      <c r="F85" s="5" t="s">
        <v>136</v>
      </c>
      <c r="G85" s="5">
        <v>2017</v>
      </c>
      <c r="H85" s="5" t="str">
        <f>_xlfn.CONCAT("74240720032")</f>
        <v>74240720032</v>
      </c>
      <c r="I85" s="5" t="s">
        <v>28</v>
      </c>
      <c r="J85" s="5" t="s">
        <v>29</v>
      </c>
      <c r="K85" s="5" t="str">
        <f>_xlfn.CONCAT("")</f>
        <v/>
      </c>
      <c r="L85" s="5" t="str">
        <f>_xlfn.CONCAT("11 11.2 4b")</f>
        <v>11 11.2 4b</v>
      </c>
      <c r="M85" s="5" t="str">
        <f>_xlfn.CONCAT("GRZGCM85M11L191L")</f>
        <v>GRZGCM85M11L191L</v>
      </c>
      <c r="N85" s="5" t="s">
        <v>160</v>
      </c>
      <c r="O85" s="5" t="s">
        <v>157</v>
      </c>
      <c r="P85" s="6">
        <v>44166</v>
      </c>
      <c r="Q85" s="5" t="s">
        <v>30</v>
      </c>
      <c r="R85" s="5" t="s">
        <v>31</v>
      </c>
      <c r="S85" s="5" t="s">
        <v>32</v>
      </c>
      <c r="T85" s="5"/>
      <c r="U85" s="5">
        <v>401.87</v>
      </c>
      <c r="V85" s="5">
        <v>173.29</v>
      </c>
      <c r="W85" s="5">
        <v>160.02000000000001</v>
      </c>
      <c r="X85" s="5">
        <v>0</v>
      </c>
      <c r="Y85" s="5">
        <v>68.56</v>
      </c>
    </row>
    <row r="86" spans="1:25" x14ac:dyDescent="0.25">
      <c r="A86" s="5" t="s">
        <v>26</v>
      </c>
      <c r="B86" s="5" t="s">
        <v>37</v>
      </c>
      <c r="C86" s="5" t="s">
        <v>44</v>
      </c>
      <c r="D86" s="5" t="s">
        <v>49</v>
      </c>
      <c r="E86" s="5" t="s">
        <v>34</v>
      </c>
      <c r="F86" s="5" t="s">
        <v>113</v>
      </c>
      <c r="G86" s="5">
        <v>2019</v>
      </c>
      <c r="H86" s="5" t="str">
        <f>_xlfn.CONCAT("94240114366")</f>
        <v>94240114366</v>
      </c>
      <c r="I86" s="5" t="s">
        <v>28</v>
      </c>
      <c r="J86" s="5" t="s">
        <v>29</v>
      </c>
      <c r="K86" s="5" t="str">
        <f>_xlfn.CONCAT("")</f>
        <v/>
      </c>
      <c r="L86" s="5" t="str">
        <f>_xlfn.CONCAT("11 11.2 4b")</f>
        <v>11 11.2 4b</v>
      </c>
      <c r="M86" s="5" t="str">
        <f>_xlfn.CONCAT("CCCNTN55D06B474O")</f>
        <v>CCCNTN55D06B474O</v>
      </c>
      <c r="N86" s="5" t="s">
        <v>161</v>
      </c>
      <c r="O86" s="5" t="s">
        <v>157</v>
      </c>
      <c r="P86" s="6">
        <v>44166</v>
      </c>
      <c r="Q86" s="5" t="s">
        <v>30</v>
      </c>
      <c r="R86" s="5" t="s">
        <v>31</v>
      </c>
      <c r="S86" s="5" t="s">
        <v>32</v>
      </c>
      <c r="T86" s="5"/>
      <c r="U86" s="7">
        <v>5279.7</v>
      </c>
      <c r="V86" s="7">
        <v>2276.61</v>
      </c>
      <c r="W86" s="7">
        <v>2102.38</v>
      </c>
      <c r="X86" s="5">
        <v>0</v>
      </c>
      <c r="Y86" s="5">
        <v>900.71</v>
      </c>
    </row>
    <row r="87" spans="1:25" x14ac:dyDescent="0.25">
      <c r="A87" s="5" t="s">
        <v>26</v>
      </c>
      <c r="B87" s="5" t="s">
        <v>37</v>
      </c>
      <c r="C87" s="5" t="s">
        <v>44</v>
      </c>
      <c r="D87" s="5" t="s">
        <v>49</v>
      </c>
      <c r="E87" s="5" t="s">
        <v>33</v>
      </c>
      <c r="F87" s="5" t="s">
        <v>77</v>
      </c>
      <c r="G87" s="5">
        <v>2019</v>
      </c>
      <c r="H87" s="5" t="str">
        <f>_xlfn.CONCAT("94240234404")</f>
        <v>94240234404</v>
      </c>
      <c r="I87" s="5" t="s">
        <v>28</v>
      </c>
      <c r="J87" s="5" t="s">
        <v>29</v>
      </c>
      <c r="K87" s="5" t="str">
        <f>_xlfn.CONCAT("")</f>
        <v/>
      </c>
      <c r="L87" s="5" t="str">
        <f>_xlfn.CONCAT("11 11.2 4b")</f>
        <v>11 11.2 4b</v>
      </c>
      <c r="M87" s="5" t="str">
        <f>_xlfn.CONCAT("MRNDNL64S44F051O")</f>
        <v>MRNDNL64S44F051O</v>
      </c>
      <c r="N87" s="5" t="s">
        <v>162</v>
      </c>
      <c r="O87" s="5" t="s">
        <v>157</v>
      </c>
      <c r="P87" s="6">
        <v>44166</v>
      </c>
      <c r="Q87" s="5" t="s">
        <v>30</v>
      </c>
      <c r="R87" s="5" t="s">
        <v>31</v>
      </c>
      <c r="S87" s="5" t="s">
        <v>32</v>
      </c>
      <c r="T87" s="5"/>
      <c r="U87" s="5">
        <v>665.02</v>
      </c>
      <c r="V87" s="5">
        <v>286.76</v>
      </c>
      <c r="W87" s="5">
        <v>264.81</v>
      </c>
      <c r="X87" s="5">
        <v>0</v>
      </c>
      <c r="Y87" s="5">
        <v>113.45</v>
      </c>
    </row>
    <row r="88" spans="1:25" x14ac:dyDescent="0.25">
      <c r="A88" s="5" t="s">
        <v>26</v>
      </c>
      <c r="B88" s="5" t="s">
        <v>37</v>
      </c>
      <c r="C88" s="5" t="s">
        <v>44</v>
      </c>
      <c r="D88" s="5" t="s">
        <v>49</v>
      </c>
      <c r="E88" s="5" t="s">
        <v>34</v>
      </c>
      <c r="F88" s="5" t="s">
        <v>113</v>
      </c>
      <c r="G88" s="5">
        <v>2018</v>
      </c>
      <c r="H88" s="5" t="str">
        <f>_xlfn.CONCAT("84240335897")</f>
        <v>84240335897</v>
      </c>
      <c r="I88" s="5" t="s">
        <v>28</v>
      </c>
      <c r="J88" s="5" t="s">
        <v>29</v>
      </c>
      <c r="K88" s="5" t="str">
        <f>_xlfn.CONCAT("")</f>
        <v/>
      </c>
      <c r="L88" s="5" t="str">
        <f>_xlfn.CONCAT("11 11.2 4b")</f>
        <v>11 11.2 4b</v>
      </c>
      <c r="M88" s="5" t="str">
        <f>_xlfn.CONCAT("PPVMRZ58M26I156B")</f>
        <v>PPVMRZ58M26I156B</v>
      </c>
      <c r="N88" s="5" t="s">
        <v>163</v>
      </c>
      <c r="O88" s="5" t="s">
        <v>157</v>
      </c>
      <c r="P88" s="6">
        <v>44166</v>
      </c>
      <c r="Q88" s="5" t="s">
        <v>30</v>
      </c>
      <c r="R88" s="5" t="s">
        <v>31</v>
      </c>
      <c r="S88" s="5" t="s">
        <v>32</v>
      </c>
      <c r="T88" s="5"/>
      <c r="U88" s="5">
        <v>620.22</v>
      </c>
      <c r="V88" s="5">
        <v>267.44</v>
      </c>
      <c r="W88" s="5">
        <v>246.97</v>
      </c>
      <c r="X88" s="5">
        <v>0</v>
      </c>
      <c r="Y88" s="5">
        <v>105.81</v>
      </c>
    </row>
    <row r="89" spans="1:25" ht="24.75" x14ac:dyDescent="0.25">
      <c r="A89" s="5" t="s">
        <v>26</v>
      </c>
      <c r="B89" s="5" t="s">
        <v>37</v>
      </c>
      <c r="C89" s="5" t="s">
        <v>44</v>
      </c>
      <c r="D89" s="5" t="s">
        <v>49</v>
      </c>
      <c r="E89" s="5" t="s">
        <v>33</v>
      </c>
      <c r="F89" s="5" t="s">
        <v>164</v>
      </c>
      <c r="G89" s="5">
        <v>2019</v>
      </c>
      <c r="H89" s="5" t="str">
        <f>_xlfn.CONCAT("94240677107")</f>
        <v>94240677107</v>
      </c>
      <c r="I89" s="5" t="s">
        <v>28</v>
      </c>
      <c r="J89" s="5" t="s">
        <v>29</v>
      </c>
      <c r="K89" s="5" t="str">
        <f>_xlfn.CONCAT("")</f>
        <v/>
      </c>
      <c r="L89" s="5" t="str">
        <f>_xlfn.CONCAT("11 11.2 4b")</f>
        <v>11 11.2 4b</v>
      </c>
      <c r="M89" s="5" t="str">
        <f>_xlfn.CONCAT("01611940436")</f>
        <v>01611940436</v>
      </c>
      <c r="N89" s="5" t="s">
        <v>165</v>
      </c>
      <c r="O89" s="5" t="s">
        <v>157</v>
      </c>
      <c r="P89" s="6">
        <v>44166</v>
      </c>
      <c r="Q89" s="5" t="s">
        <v>30</v>
      </c>
      <c r="R89" s="5" t="s">
        <v>31</v>
      </c>
      <c r="S89" s="5" t="s">
        <v>32</v>
      </c>
      <c r="T89" s="5"/>
      <c r="U89" s="7">
        <v>1611.86</v>
      </c>
      <c r="V89" s="5">
        <v>695.03</v>
      </c>
      <c r="W89" s="5">
        <v>641.84</v>
      </c>
      <c r="X89" s="5">
        <v>0</v>
      </c>
      <c r="Y89" s="5">
        <v>274.99</v>
      </c>
    </row>
    <row r="90" spans="1:25" x14ac:dyDescent="0.25">
      <c r="A90" s="5" t="s">
        <v>26</v>
      </c>
      <c r="B90" s="5" t="s">
        <v>37</v>
      </c>
      <c r="C90" s="5" t="s">
        <v>44</v>
      </c>
      <c r="D90" s="5" t="s">
        <v>49</v>
      </c>
      <c r="E90" s="5" t="s">
        <v>38</v>
      </c>
      <c r="F90" s="5" t="s">
        <v>136</v>
      </c>
      <c r="G90" s="5">
        <v>2019</v>
      </c>
      <c r="H90" s="5" t="str">
        <f>_xlfn.CONCAT("94240975873")</f>
        <v>94240975873</v>
      </c>
      <c r="I90" s="5" t="s">
        <v>28</v>
      </c>
      <c r="J90" s="5" t="s">
        <v>29</v>
      </c>
      <c r="K90" s="5" t="str">
        <f>_xlfn.CONCAT("")</f>
        <v/>
      </c>
      <c r="L90" s="5" t="str">
        <f>_xlfn.CONCAT("11 11.1 4b")</f>
        <v>11 11.1 4b</v>
      </c>
      <c r="M90" s="5" t="str">
        <f>_xlfn.CONCAT("01909630434")</f>
        <v>01909630434</v>
      </c>
      <c r="N90" s="5" t="s">
        <v>166</v>
      </c>
      <c r="O90" s="5" t="s">
        <v>157</v>
      </c>
      <c r="P90" s="6">
        <v>44166</v>
      </c>
      <c r="Q90" s="5" t="s">
        <v>30</v>
      </c>
      <c r="R90" s="5" t="s">
        <v>31</v>
      </c>
      <c r="S90" s="5" t="s">
        <v>32</v>
      </c>
      <c r="T90" s="5"/>
      <c r="U90" s="5">
        <v>164.1</v>
      </c>
      <c r="V90" s="5">
        <v>70.760000000000005</v>
      </c>
      <c r="W90" s="5">
        <v>65.34</v>
      </c>
      <c r="X90" s="5">
        <v>0</v>
      </c>
      <c r="Y90" s="5">
        <v>28</v>
      </c>
    </row>
    <row r="91" spans="1:25" ht="24.75" x14ac:dyDescent="0.25">
      <c r="A91" s="5" t="s">
        <v>26</v>
      </c>
      <c r="B91" s="5" t="s">
        <v>37</v>
      </c>
      <c r="C91" s="5" t="s">
        <v>44</v>
      </c>
      <c r="D91" s="5" t="s">
        <v>49</v>
      </c>
      <c r="E91" s="5" t="s">
        <v>34</v>
      </c>
      <c r="F91" s="5" t="s">
        <v>113</v>
      </c>
      <c r="G91" s="5">
        <v>2018</v>
      </c>
      <c r="H91" s="5" t="str">
        <f>_xlfn.CONCAT("84240834147")</f>
        <v>84240834147</v>
      </c>
      <c r="I91" s="5" t="s">
        <v>28</v>
      </c>
      <c r="J91" s="5" t="s">
        <v>29</v>
      </c>
      <c r="K91" s="5" t="str">
        <f>_xlfn.CONCAT("")</f>
        <v/>
      </c>
      <c r="L91" s="5" t="str">
        <f>_xlfn.CONCAT("11 11.2 4b")</f>
        <v>11 11.2 4b</v>
      </c>
      <c r="M91" s="5" t="str">
        <f>_xlfn.CONCAT("01945810438")</f>
        <v>01945810438</v>
      </c>
      <c r="N91" s="5" t="s">
        <v>167</v>
      </c>
      <c r="O91" s="5" t="s">
        <v>157</v>
      </c>
      <c r="P91" s="6">
        <v>44166</v>
      </c>
      <c r="Q91" s="5" t="s">
        <v>30</v>
      </c>
      <c r="R91" s="5" t="s">
        <v>31</v>
      </c>
      <c r="S91" s="5" t="s">
        <v>32</v>
      </c>
      <c r="T91" s="5"/>
      <c r="U91" s="7">
        <v>1057.8900000000001</v>
      </c>
      <c r="V91" s="5">
        <v>456.16</v>
      </c>
      <c r="W91" s="5">
        <v>421.25</v>
      </c>
      <c r="X91" s="5">
        <v>0</v>
      </c>
      <c r="Y91" s="5">
        <v>180.48</v>
      </c>
    </row>
    <row r="92" spans="1:25" ht="24.75" x14ac:dyDescent="0.25">
      <c r="A92" s="5" t="s">
        <v>26</v>
      </c>
      <c r="B92" s="5" t="s">
        <v>37</v>
      </c>
      <c r="C92" s="5" t="s">
        <v>44</v>
      </c>
      <c r="D92" s="5" t="s">
        <v>49</v>
      </c>
      <c r="E92" s="5" t="s">
        <v>34</v>
      </c>
      <c r="F92" s="5" t="s">
        <v>113</v>
      </c>
      <c r="G92" s="5">
        <v>2019</v>
      </c>
      <c r="H92" s="5" t="str">
        <f>_xlfn.CONCAT("94240904451")</f>
        <v>94240904451</v>
      </c>
      <c r="I92" s="5" t="s">
        <v>28</v>
      </c>
      <c r="J92" s="5" t="s">
        <v>29</v>
      </c>
      <c r="K92" s="5" t="str">
        <f>_xlfn.CONCAT("")</f>
        <v/>
      </c>
      <c r="L92" s="5" t="str">
        <f>_xlfn.CONCAT("11 11.2 4b")</f>
        <v>11 11.2 4b</v>
      </c>
      <c r="M92" s="5" t="str">
        <f>_xlfn.CONCAT("01141480432")</f>
        <v>01141480432</v>
      </c>
      <c r="N92" s="5" t="s">
        <v>168</v>
      </c>
      <c r="O92" s="5" t="s">
        <v>157</v>
      </c>
      <c r="P92" s="6">
        <v>44166</v>
      </c>
      <c r="Q92" s="5" t="s">
        <v>30</v>
      </c>
      <c r="R92" s="5" t="s">
        <v>31</v>
      </c>
      <c r="S92" s="5" t="s">
        <v>32</v>
      </c>
      <c r="T92" s="5"/>
      <c r="U92" s="7">
        <v>13048.19</v>
      </c>
      <c r="V92" s="7">
        <v>5626.38</v>
      </c>
      <c r="W92" s="7">
        <v>5195.79</v>
      </c>
      <c r="X92" s="5">
        <v>0</v>
      </c>
      <c r="Y92" s="7">
        <v>2226.02</v>
      </c>
    </row>
    <row r="93" spans="1:25" ht="24.75" x14ac:dyDescent="0.25">
      <c r="A93" s="5" t="s">
        <v>26</v>
      </c>
      <c r="B93" s="5" t="s">
        <v>37</v>
      </c>
      <c r="C93" s="5" t="s">
        <v>44</v>
      </c>
      <c r="D93" s="5" t="s">
        <v>49</v>
      </c>
      <c r="E93" s="5" t="s">
        <v>34</v>
      </c>
      <c r="F93" s="5" t="s">
        <v>79</v>
      </c>
      <c r="G93" s="5">
        <v>2019</v>
      </c>
      <c r="H93" s="5" t="str">
        <f>_xlfn.CONCAT("94240804834")</f>
        <v>94240804834</v>
      </c>
      <c r="I93" s="5" t="s">
        <v>28</v>
      </c>
      <c r="J93" s="5" t="s">
        <v>29</v>
      </c>
      <c r="K93" s="5" t="str">
        <f>_xlfn.CONCAT("")</f>
        <v/>
      </c>
      <c r="L93" s="5" t="str">
        <f>_xlfn.CONCAT("11 11.2 4b")</f>
        <v>11 11.2 4b</v>
      </c>
      <c r="M93" s="5" t="str">
        <f>_xlfn.CONCAT("01677990432")</f>
        <v>01677990432</v>
      </c>
      <c r="N93" s="5" t="s">
        <v>169</v>
      </c>
      <c r="O93" s="5" t="s">
        <v>157</v>
      </c>
      <c r="P93" s="6">
        <v>44166</v>
      </c>
      <c r="Q93" s="5" t="s">
        <v>30</v>
      </c>
      <c r="R93" s="5" t="s">
        <v>31</v>
      </c>
      <c r="S93" s="5" t="s">
        <v>32</v>
      </c>
      <c r="T93" s="5"/>
      <c r="U93" s="7">
        <v>3359.12</v>
      </c>
      <c r="V93" s="7">
        <v>1448.45</v>
      </c>
      <c r="W93" s="7">
        <v>1337.6</v>
      </c>
      <c r="X93" s="5">
        <v>0</v>
      </c>
      <c r="Y93" s="5">
        <v>573.07000000000005</v>
      </c>
    </row>
    <row r="94" spans="1:25" x14ac:dyDescent="0.25">
      <c r="A94" s="5" t="s">
        <v>26</v>
      </c>
      <c r="B94" s="5" t="s">
        <v>37</v>
      </c>
      <c r="C94" s="5" t="s">
        <v>44</v>
      </c>
      <c r="D94" s="5" t="s">
        <v>49</v>
      </c>
      <c r="E94" s="5" t="s">
        <v>38</v>
      </c>
      <c r="F94" s="5" t="s">
        <v>136</v>
      </c>
      <c r="G94" s="5">
        <v>2017</v>
      </c>
      <c r="H94" s="5" t="str">
        <f>_xlfn.CONCAT("74240715222")</f>
        <v>74240715222</v>
      </c>
      <c r="I94" s="5" t="s">
        <v>28</v>
      </c>
      <c r="J94" s="5" t="s">
        <v>29</v>
      </c>
      <c r="K94" s="5" t="str">
        <f>_xlfn.CONCAT("")</f>
        <v/>
      </c>
      <c r="L94" s="5" t="str">
        <f>_xlfn.CONCAT("11 11.1 4b")</f>
        <v>11 11.1 4b</v>
      </c>
      <c r="M94" s="5" t="str">
        <f>_xlfn.CONCAT("01915080434")</f>
        <v>01915080434</v>
      </c>
      <c r="N94" s="5" t="s">
        <v>170</v>
      </c>
      <c r="O94" s="5" t="s">
        <v>157</v>
      </c>
      <c r="P94" s="6">
        <v>44166</v>
      </c>
      <c r="Q94" s="5" t="s">
        <v>30</v>
      </c>
      <c r="R94" s="5" t="s">
        <v>31</v>
      </c>
      <c r="S94" s="5" t="s">
        <v>32</v>
      </c>
      <c r="T94" s="5"/>
      <c r="U94" s="5">
        <v>304.79000000000002</v>
      </c>
      <c r="V94" s="5">
        <v>131.43</v>
      </c>
      <c r="W94" s="5">
        <v>121.37</v>
      </c>
      <c r="X94" s="5">
        <v>0</v>
      </c>
      <c r="Y94" s="5">
        <v>51.99</v>
      </c>
    </row>
    <row r="95" spans="1:25" x14ac:dyDescent="0.25">
      <c r="A95" s="5" t="s">
        <v>26</v>
      </c>
      <c r="B95" s="5" t="s">
        <v>37</v>
      </c>
      <c r="C95" s="5" t="s">
        <v>44</v>
      </c>
      <c r="D95" s="5" t="s">
        <v>49</v>
      </c>
      <c r="E95" s="5" t="s">
        <v>34</v>
      </c>
      <c r="F95" s="5" t="s">
        <v>79</v>
      </c>
      <c r="G95" s="5">
        <v>2018</v>
      </c>
      <c r="H95" s="5" t="str">
        <f>_xlfn.CONCAT("84241000193")</f>
        <v>84241000193</v>
      </c>
      <c r="I95" s="5" t="s">
        <v>28</v>
      </c>
      <c r="J95" s="5" t="s">
        <v>29</v>
      </c>
      <c r="K95" s="5" t="str">
        <f>_xlfn.CONCAT("")</f>
        <v/>
      </c>
      <c r="L95" s="5" t="str">
        <f>_xlfn.CONCAT("11 11.2 4b")</f>
        <v>11 11.2 4b</v>
      </c>
      <c r="M95" s="5" t="str">
        <f>_xlfn.CONCAT("BCCNDR74C16I436R")</f>
        <v>BCCNDR74C16I436R</v>
      </c>
      <c r="N95" s="5" t="s">
        <v>171</v>
      </c>
      <c r="O95" s="5" t="s">
        <v>157</v>
      </c>
      <c r="P95" s="6">
        <v>44166</v>
      </c>
      <c r="Q95" s="5" t="s">
        <v>30</v>
      </c>
      <c r="R95" s="5" t="s">
        <v>31</v>
      </c>
      <c r="S95" s="5" t="s">
        <v>32</v>
      </c>
      <c r="T95" s="5"/>
      <c r="U95" s="7">
        <v>17354.439999999999</v>
      </c>
      <c r="V95" s="7">
        <v>7483.23</v>
      </c>
      <c r="W95" s="7">
        <v>6910.54</v>
      </c>
      <c r="X95" s="5">
        <v>0</v>
      </c>
      <c r="Y95" s="7">
        <v>2960.67</v>
      </c>
    </row>
    <row r="96" spans="1:25" x14ac:dyDescent="0.25">
      <c r="A96" s="5" t="s">
        <v>26</v>
      </c>
      <c r="B96" s="5" t="s">
        <v>37</v>
      </c>
      <c r="C96" s="5" t="s">
        <v>44</v>
      </c>
      <c r="D96" s="5" t="s">
        <v>49</v>
      </c>
      <c r="E96" s="5" t="s">
        <v>38</v>
      </c>
      <c r="F96" s="5" t="s">
        <v>136</v>
      </c>
      <c r="G96" s="5">
        <v>2018</v>
      </c>
      <c r="H96" s="5" t="str">
        <f>_xlfn.CONCAT("84240890560")</f>
        <v>84240890560</v>
      </c>
      <c r="I96" s="5" t="s">
        <v>28</v>
      </c>
      <c r="J96" s="5" t="s">
        <v>29</v>
      </c>
      <c r="K96" s="5" t="str">
        <f>_xlfn.CONCAT("")</f>
        <v/>
      </c>
      <c r="L96" s="5" t="str">
        <f>_xlfn.CONCAT("11 11.2 4b")</f>
        <v>11 11.2 4b</v>
      </c>
      <c r="M96" s="5" t="str">
        <f>_xlfn.CONCAT("BRNGZN70P29H211F")</f>
        <v>BRNGZN70P29H211F</v>
      </c>
      <c r="N96" s="5" t="s">
        <v>172</v>
      </c>
      <c r="O96" s="5" t="s">
        <v>157</v>
      </c>
      <c r="P96" s="6">
        <v>44166</v>
      </c>
      <c r="Q96" s="5" t="s">
        <v>30</v>
      </c>
      <c r="R96" s="5" t="s">
        <v>31</v>
      </c>
      <c r="S96" s="5" t="s">
        <v>32</v>
      </c>
      <c r="T96" s="5"/>
      <c r="U96" s="7">
        <v>4325.97</v>
      </c>
      <c r="V96" s="7">
        <v>1865.36</v>
      </c>
      <c r="W96" s="7">
        <v>1722.6</v>
      </c>
      <c r="X96" s="5">
        <v>0</v>
      </c>
      <c r="Y96" s="5">
        <v>738.01</v>
      </c>
    </row>
    <row r="97" spans="1:25" x14ac:dyDescent="0.25">
      <c r="A97" s="5" t="s">
        <v>26</v>
      </c>
      <c r="B97" s="5" t="s">
        <v>37</v>
      </c>
      <c r="C97" s="5" t="s">
        <v>44</v>
      </c>
      <c r="D97" s="5" t="s">
        <v>49</v>
      </c>
      <c r="E97" s="5" t="s">
        <v>34</v>
      </c>
      <c r="F97" s="5" t="s">
        <v>113</v>
      </c>
      <c r="G97" s="5">
        <v>2019</v>
      </c>
      <c r="H97" s="5" t="str">
        <f>_xlfn.CONCAT("94241734626")</f>
        <v>94241734626</v>
      </c>
      <c r="I97" s="5" t="s">
        <v>28</v>
      </c>
      <c r="J97" s="5" t="s">
        <v>29</v>
      </c>
      <c r="K97" s="5" t="str">
        <f>_xlfn.CONCAT("")</f>
        <v/>
      </c>
      <c r="L97" s="5" t="str">
        <f>_xlfn.CONCAT("11 11.1 4b")</f>
        <v>11 11.1 4b</v>
      </c>
      <c r="M97" s="5" t="str">
        <f>_xlfn.CONCAT("FRRMNL79H12I156C")</f>
        <v>FRRMNL79H12I156C</v>
      </c>
      <c r="N97" s="5" t="s">
        <v>173</v>
      </c>
      <c r="O97" s="5" t="s">
        <v>157</v>
      </c>
      <c r="P97" s="6">
        <v>44166</v>
      </c>
      <c r="Q97" s="5" t="s">
        <v>30</v>
      </c>
      <c r="R97" s="5" t="s">
        <v>31</v>
      </c>
      <c r="S97" s="5" t="s">
        <v>32</v>
      </c>
      <c r="T97" s="5"/>
      <c r="U97" s="7">
        <v>7464.15</v>
      </c>
      <c r="V97" s="7">
        <v>3218.54</v>
      </c>
      <c r="W97" s="7">
        <v>2972.22</v>
      </c>
      <c r="X97" s="5">
        <v>0</v>
      </c>
      <c r="Y97" s="7">
        <v>1273.3900000000001</v>
      </c>
    </row>
    <row r="98" spans="1:25" x14ac:dyDescent="0.25">
      <c r="A98" s="5" t="s">
        <v>26</v>
      </c>
      <c r="B98" s="5" t="s">
        <v>37</v>
      </c>
      <c r="C98" s="5" t="s">
        <v>44</v>
      </c>
      <c r="D98" s="5" t="s">
        <v>49</v>
      </c>
      <c r="E98" s="5" t="s">
        <v>33</v>
      </c>
      <c r="F98" s="5" t="s">
        <v>164</v>
      </c>
      <c r="G98" s="5">
        <v>2019</v>
      </c>
      <c r="H98" s="5" t="str">
        <f>_xlfn.CONCAT("94240612997")</f>
        <v>94240612997</v>
      </c>
      <c r="I98" s="5" t="s">
        <v>28</v>
      </c>
      <c r="J98" s="5" t="s">
        <v>29</v>
      </c>
      <c r="K98" s="5" t="str">
        <f>_xlfn.CONCAT("")</f>
        <v/>
      </c>
      <c r="L98" s="5" t="str">
        <f>_xlfn.CONCAT("11 11.2 4b")</f>
        <v>11 11.2 4b</v>
      </c>
      <c r="M98" s="5" t="str">
        <f>_xlfn.CONCAT("BRCSLV83M51E783Q")</f>
        <v>BRCSLV83M51E783Q</v>
      </c>
      <c r="N98" s="5" t="s">
        <v>174</v>
      </c>
      <c r="O98" s="5" t="s">
        <v>157</v>
      </c>
      <c r="P98" s="6">
        <v>44166</v>
      </c>
      <c r="Q98" s="5" t="s">
        <v>30</v>
      </c>
      <c r="R98" s="5" t="s">
        <v>31</v>
      </c>
      <c r="S98" s="5" t="s">
        <v>32</v>
      </c>
      <c r="T98" s="5"/>
      <c r="U98" s="5">
        <v>305.36</v>
      </c>
      <c r="V98" s="5">
        <v>131.66999999999999</v>
      </c>
      <c r="W98" s="5">
        <v>121.59</v>
      </c>
      <c r="X98" s="5">
        <v>0</v>
      </c>
      <c r="Y98" s="5">
        <v>52.1</v>
      </c>
    </row>
    <row r="99" spans="1:25" x14ac:dyDescent="0.25">
      <c r="A99" s="5" t="s">
        <v>26</v>
      </c>
      <c r="B99" s="5" t="s">
        <v>37</v>
      </c>
      <c r="C99" s="5" t="s">
        <v>44</v>
      </c>
      <c r="D99" s="5" t="s">
        <v>49</v>
      </c>
      <c r="E99" s="5" t="s">
        <v>33</v>
      </c>
      <c r="F99" s="5" t="s">
        <v>175</v>
      </c>
      <c r="G99" s="5">
        <v>2019</v>
      </c>
      <c r="H99" s="5" t="str">
        <f>_xlfn.CONCAT("94240721475")</f>
        <v>94240721475</v>
      </c>
      <c r="I99" s="5" t="s">
        <v>28</v>
      </c>
      <c r="J99" s="5" t="s">
        <v>29</v>
      </c>
      <c r="K99" s="5" t="str">
        <f>_xlfn.CONCAT("")</f>
        <v/>
      </c>
      <c r="L99" s="5" t="str">
        <f>_xlfn.CONCAT("11 11.2 4b")</f>
        <v>11 11.2 4b</v>
      </c>
      <c r="M99" s="5" t="str">
        <f>_xlfn.CONCAT("CRRSMN78S09F051S")</f>
        <v>CRRSMN78S09F051S</v>
      </c>
      <c r="N99" s="5" t="s">
        <v>176</v>
      </c>
      <c r="O99" s="5" t="s">
        <v>157</v>
      </c>
      <c r="P99" s="6">
        <v>44166</v>
      </c>
      <c r="Q99" s="5" t="s">
        <v>30</v>
      </c>
      <c r="R99" s="5" t="s">
        <v>31</v>
      </c>
      <c r="S99" s="5" t="s">
        <v>32</v>
      </c>
      <c r="T99" s="5"/>
      <c r="U99" s="5">
        <v>455.98</v>
      </c>
      <c r="V99" s="5">
        <v>196.62</v>
      </c>
      <c r="W99" s="5">
        <v>181.57</v>
      </c>
      <c r="X99" s="5">
        <v>0</v>
      </c>
      <c r="Y99" s="5">
        <v>77.790000000000006</v>
      </c>
    </row>
    <row r="100" spans="1:25" x14ac:dyDescent="0.25">
      <c r="A100" s="5" t="s">
        <v>26</v>
      </c>
      <c r="B100" s="5" t="s">
        <v>37</v>
      </c>
      <c r="C100" s="5" t="s">
        <v>44</v>
      </c>
      <c r="D100" s="5" t="s">
        <v>49</v>
      </c>
      <c r="E100" s="5" t="s">
        <v>34</v>
      </c>
      <c r="F100" s="5" t="s">
        <v>113</v>
      </c>
      <c r="G100" s="5">
        <v>2017</v>
      </c>
      <c r="H100" s="5" t="str">
        <f>_xlfn.CONCAT("74240123112")</f>
        <v>74240123112</v>
      </c>
      <c r="I100" s="5" t="s">
        <v>28</v>
      </c>
      <c r="J100" s="5" t="s">
        <v>29</v>
      </c>
      <c r="K100" s="5" t="str">
        <f>_xlfn.CONCAT("")</f>
        <v/>
      </c>
      <c r="L100" s="5" t="str">
        <f>_xlfn.CONCAT("11 11.1 4b")</f>
        <v>11 11.1 4b</v>
      </c>
      <c r="M100" s="5" t="str">
        <f>_xlfn.CONCAT("CRSSRA89H64B474Q")</f>
        <v>CRSSRA89H64B474Q</v>
      </c>
      <c r="N100" s="5" t="s">
        <v>159</v>
      </c>
      <c r="O100" s="5" t="s">
        <v>157</v>
      </c>
      <c r="P100" s="6">
        <v>44166</v>
      </c>
      <c r="Q100" s="5" t="s">
        <v>30</v>
      </c>
      <c r="R100" s="5" t="s">
        <v>31</v>
      </c>
      <c r="S100" s="5" t="s">
        <v>32</v>
      </c>
      <c r="T100" s="5"/>
      <c r="U100" s="5">
        <v>958.51</v>
      </c>
      <c r="V100" s="5">
        <v>413.31</v>
      </c>
      <c r="W100" s="5">
        <v>381.68</v>
      </c>
      <c r="X100" s="5">
        <v>0</v>
      </c>
      <c r="Y100" s="5">
        <v>163.52000000000001</v>
      </c>
    </row>
    <row r="101" spans="1:25" x14ac:dyDescent="0.25">
      <c r="A101" s="5" t="s">
        <v>26</v>
      </c>
      <c r="B101" s="5" t="s">
        <v>37</v>
      </c>
      <c r="C101" s="5" t="s">
        <v>44</v>
      </c>
      <c r="D101" s="5" t="s">
        <v>49</v>
      </c>
      <c r="E101" s="5" t="s">
        <v>38</v>
      </c>
      <c r="F101" s="5" t="s">
        <v>136</v>
      </c>
      <c r="G101" s="5">
        <v>2018</v>
      </c>
      <c r="H101" s="5" t="str">
        <f>_xlfn.CONCAT("84240911259")</f>
        <v>84240911259</v>
      </c>
      <c r="I101" s="5" t="s">
        <v>28</v>
      </c>
      <c r="J101" s="5" t="s">
        <v>29</v>
      </c>
      <c r="K101" s="5" t="str">
        <f>_xlfn.CONCAT("")</f>
        <v/>
      </c>
      <c r="L101" s="5" t="str">
        <f>_xlfn.CONCAT("11 11.2 4b")</f>
        <v>11 11.2 4b</v>
      </c>
      <c r="M101" s="5" t="str">
        <f>_xlfn.CONCAT("DLLRFL60B21E783M")</f>
        <v>DLLRFL60B21E783M</v>
      </c>
      <c r="N101" s="5" t="s">
        <v>177</v>
      </c>
      <c r="O101" s="5" t="s">
        <v>157</v>
      </c>
      <c r="P101" s="6">
        <v>44166</v>
      </c>
      <c r="Q101" s="5" t="s">
        <v>30</v>
      </c>
      <c r="R101" s="5" t="s">
        <v>31</v>
      </c>
      <c r="S101" s="5" t="s">
        <v>32</v>
      </c>
      <c r="T101" s="5"/>
      <c r="U101" s="5">
        <v>170.15</v>
      </c>
      <c r="V101" s="5">
        <v>73.37</v>
      </c>
      <c r="W101" s="5">
        <v>67.75</v>
      </c>
      <c r="X101" s="5">
        <v>0</v>
      </c>
      <c r="Y101" s="5">
        <v>29.03</v>
      </c>
    </row>
    <row r="102" spans="1:25" x14ac:dyDescent="0.25">
      <c r="A102" s="5" t="s">
        <v>26</v>
      </c>
      <c r="B102" s="5" t="s">
        <v>37</v>
      </c>
      <c r="C102" s="5" t="s">
        <v>44</v>
      </c>
      <c r="D102" s="5" t="s">
        <v>49</v>
      </c>
      <c r="E102" s="5" t="s">
        <v>34</v>
      </c>
      <c r="F102" s="5" t="s">
        <v>113</v>
      </c>
      <c r="G102" s="5">
        <v>2018</v>
      </c>
      <c r="H102" s="5" t="str">
        <f>_xlfn.CONCAT("84240438295")</f>
        <v>84240438295</v>
      </c>
      <c r="I102" s="5" t="s">
        <v>28</v>
      </c>
      <c r="J102" s="5" t="s">
        <v>29</v>
      </c>
      <c r="K102" s="5" t="str">
        <f>_xlfn.CONCAT("")</f>
        <v/>
      </c>
      <c r="L102" s="5" t="str">
        <f>_xlfn.CONCAT("11 11.2 4b")</f>
        <v>11 11.2 4b</v>
      </c>
      <c r="M102" s="5" t="str">
        <f>_xlfn.CONCAT("CCCNTN55D06B474O")</f>
        <v>CCCNTN55D06B474O</v>
      </c>
      <c r="N102" s="5" t="s">
        <v>161</v>
      </c>
      <c r="O102" s="5" t="s">
        <v>157</v>
      </c>
      <c r="P102" s="6">
        <v>44166</v>
      </c>
      <c r="Q102" s="5" t="s">
        <v>30</v>
      </c>
      <c r="R102" s="5" t="s">
        <v>31</v>
      </c>
      <c r="S102" s="5" t="s">
        <v>32</v>
      </c>
      <c r="T102" s="5"/>
      <c r="U102" s="7">
        <v>1966.47</v>
      </c>
      <c r="V102" s="5">
        <v>847.94</v>
      </c>
      <c r="W102" s="5">
        <v>783.05</v>
      </c>
      <c r="X102" s="5">
        <v>0</v>
      </c>
      <c r="Y102" s="5">
        <v>335.48</v>
      </c>
    </row>
    <row r="103" spans="1:25" x14ac:dyDescent="0.25">
      <c r="A103" s="5" t="s">
        <v>26</v>
      </c>
      <c r="B103" s="5" t="s">
        <v>37</v>
      </c>
      <c r="C103" s="5" t="s">
        <v>44</v>
      </c>
      <c r="D103" s="5" t="s">
        <v>49</v>
      </c>
      <c r="E103" s="5" t="s">
        <v>33</v>
      </c>
      <c r="F103" s="5" t="s">
        <v>77</v>
      </c>
      <c r="G103" s="5">
        <v>2018</v>
      </c>
      <c r="H103" s="5" t="str">
        <f>_xlfn.CONCAT("84240633002")</f>
        <v>84240633002</v>
      </c>
      <c r="I103" s="5" t="s">
        <v>28</v>
      </c>
      <c r="J103" s="5" t="s">
        <v>29</v>
      </c>
      <c r="K103" s="5" t="str">
        <f>_xlfn.CONCAT("")</f>
        <v/>
      </c>
      <c r="L103" s="5" t="str">
        <f>_xlfn.CONCAT("11 11.2 4b")</f>
        <v>11 11.2 4b</v>
      </c>
      <c r="M103" s="5" t="str">
        <f>_xlfn.CONCAT("MRNDNL64S44F051O")</f>
        <v>MRNDNL64S44F051O</v>
      </c>
      <c r="N103" s="5" t="s">
        <v>162</v>
      </c>
      <c r="O103" s="5" t="s">
        <v>157</v>
      </c>
      <c r="P103" s="6">
        <v>44166</v>
      </c>
      <c r="Q103" s="5" t="s">
        <v>30</v>
      </c>
      <c r="R103" s="5" t="s">
        <v>31</v>
      </c>
      <c r="S103" s="5" t="s">
        <v>32</v>
      </c>
      <c r="T103" s="5"/>
      <c r="U103" s="5">
        <v>547.5</v>
      </c>
      <c r="V103" s="5">
        <v>236.08</v>
      </c>
      <c r="W103" s="5">
        <v>218.01</v>
      </c>
      <c r="X103" s="5">
        <v>0</v>
      </c>
      <c r="Y103" s="5">
        <v>93.41</v>
      </c>
    </row>
    <row r="104" spans="1:25" x14ac:dyDescent="0.25">
      <c r="A104" s="5" t="s">
        <v>26</v>
      </c>
      <c r="B104" s="5" t="s">
        <v>37</v>
      </c>
      <c r="C104" s="5" t="s">
        <v>44</v>
      </c>
      <c r="D104" s="5" t="s">
        <v>49</v>
      </c>
      <c r="E104" s="5" t="s">
        <v>34</v>
      </c>
      <c r="F104" s="5" t="s">
        <v>113</v>
      </c>
      <c r="G104" s="5">
        <v>2017</v>
      </c>
      <c r="H104" s="5" t="str">
        <f>_xlfn.CONCAT("74240522438")</f>
        <v>74240522438</v>
      </c>
      <c r="I104" s="5" t="s">
        <v>28</v>
      </c>
      <c r="J104" s="5" t="s">
        <v>29</v>
      </c>
      <c r="K104" s="5" t="str">
        <f>_xlfn.CONCAT("")</f>
        <v/>
      </c>
      <c r="L104" s="5" t="str">
        <f>_xlfn.CONCAT("11 11.2 4b")</f>
        <v>11 11.2 4b</v>
      </c>
      <c r="M104" s="5" t="str">
        <f>_xlfn.CONCAT("RPLNRC64S25B474S")</f>
        <v>RPLNRC64S25B474S</v>
      </c>
      <c r="N104" s="5" t="s">
        <v>178</v>
      </c>
      <c r="O104" s="5" t="s">
        <v>157</v>
      </c>
      <c r="P104" s="6">
        <v>44166</v>
      </c>
      <c r="Q104" s="5" t="s">
        <v>30</v>
      </c>
      <c r="R104" s="5" t="s">
        <v>31</v>
      </c>
      <c r="S104" s="5" t="s">
        <v>32</v>
      </c>
      <c r="T104" s="5"/>
      <c r="U104" s="5">
        <v>386.92</v>
      </c>
      <c r="V104" s="5">
        <v>166.84</v>
      </c>
      <c r="W104" s="5">
        <v>154.07</v>
      </c>
      <c r="X104" s="5">
        <v>0</v>
      </c>
      <c r="Y104" s="5">
        <v>66.010000000000005</v>
      </c>
    </row>
    <row r="105" spans="1:25" x14ac:dyDescent="0.25">
      <c r="A105" s="5" t="s">
        <v>26</v>
      </c>
      <c r="B105" s="5" t="s">
        <v>37</v>
      </c>
      <c r="C105" s="5" t="s">
        <v>44</v>
      </c>
      <c r="D105" s="5" t="s">
        <v>49</v>
      </c>
      <c r="E105" s="5" t="s">
        <v>34</v>
      </c>
      <c r="F105" s="5" t="s">
        <v>113</v>
      </c>
      <c r="G105" s="5">
        <v>2018</v>
      </c>
      <c r="H105" s="5" t="str">
        <f>_xlfn.CONCAT("84240754857")</f>
        <v>84240754857</v>
      </c>
      <c r="I105" s="5" t="s">
        <v>28</v>
      </c>
      <c r="J105" s="5" t="s">
        <v>29</v>
      </c>
      <c r="K105" s="5" t="str">
        <f>_xlfn.CONCAT("")</f>
        <v/>
      </c>
      <c r="L105" s="5" t="str">
        <f>_xlfn.CONCAT("11 11.2 4b")</f>
        <v>11 11.2 4b</v>
      </c>
      <c r="M105" s="5" t="str">
        <f>_xlfn.CONCAT("RPLNRC64S25B474S")</f>
        <v>RPLNRC64S25B474S</v>
      </c>
      <c r="N105" s="5" t="s">
        <v>178</v>
      </c>
      <c r="O105" s="5" t="s">
        <v>157</v>
      </c>
      <c r="P105" s="6">
        <v>44166</v>
      </c>
      <c r="Q105" s="5" t="s">
        <v>30</v>
      </c>
      <c r="R105" s="5" t="s">
        <v>31</v>
      </c>
      <c r="S105" s="5" t="s">
        <v>32</v>
      </c>
      <c r="T105" s="5"/>
      <c r="U105" s="5">
        <v>579.14</v>
      </c>
      <c r="V105" s="5">
        <v>249.73</v>
      </c>
      <c r="W105" s="5">
        <v>230.61</v>
      </c>
      <c r="X105" s="5">
        <v>0</v>
      </c>
      <c r="Y105" s="5">
        <v>98.8</v>
      </c>
    </row>
    <row r="106" spans="1:25" x14ac:dyDescent="0.25">
      <c r="A106" s="5" t="s">
        <v>26</v>
      </c>
      <c r="B106" s="5" t="s">
        <v>37</v>
      </c>
      <c r="C106" s="5" t="s">
        <v>44</v>
      </c>
      <c r="D106" s="5" t="s">
        <v>49</v>
      </c>
      <c r="E106" s="5" t="s">
        <v>34</v>
      </c>
      <c r="F106" s="5" t="s">
        <v>179</v>
      </c>
      <c r="G106" s="5">
        <v>2017</v>
      </c>
      <c r="H106" s="5" t="str">
        <f>_xlfn.CONCAT("74240548623")</f>
        <v>74240548623</v>
      </c>
      <c r="I106" s="5" t="s">
        <v>28</v>
      </c>
      <c r="J106" s="5" t="s">
        <v>29</v>
      </c>
      <c r="K106" s="5" t="str">
        <f>_xlfn.CONCAT("")</f>
        <v/>
      </c>
      <c r="L106" s="5" t="str">
        <f>_xlfn.CONCAT("11 11.2 4b")</f>
        <v>11 11.2 4b</v>
      </c>
      <c r="M106" s="5" t="str">
        <f>_xlfn.CONCAT("TMSTTV58H01A329E")</f>
        <v>TMSTTV58H01A329E</v>
      </c>
      <c r="N106" s="5" t="s">
        <v>180</v>
      </c>
      <c r="O106" s="5" t="s">
        <v>157</v>
      </c>
      <c r="P106" s="6">
        <v>44166</v>
      </c>
      <c r="Q106" s="5" t="s">
        <v>30</v>
      </c>
      <c r="R106" s="5" t="s">
        <v>31</v>
      </c>
      <c r="S106" s="5" t="s">
        <v>32</v>
      </c>
      <c r="T106" s="5"/>
      <c r="U106" s="5">
        <v>590.76</v>
      </c>
      <c r="V106" s="5">
        <v>254.74</v>
      </c>
      <c r="W106" s="5">
        <v>235.24</v>
      </c>
      <c r="X106" s="5">
        <v>0</v>
      </c>
      <c r="Y106" s="5">
        <v>100.78</v>
      </c>
    </row>
    <row r="107" spans="1:25" x14ac:dyDescent="0.25">
      <c r="A107" s="5" t="s">
        <v>26</v>
      </c>
      <c r="B107" s="5" t="s">
        <v>37</v>
      </c>
      <c r="C107" s="5" t="s">
        <v>44</v>
      </c>
      <c r="D107" s="5" t="s">
        <v>49</v>
      </c>
      <c r="E107" s="5" t="s">
        <v>34</v>
      </c>
      <c r="F107" s="5" t="s">
        <v>179</v>
      </c>
      <c r="G107" s="5">
        <v>2019</v>
      </c>
      <c r="H107" s="5" t="str">
        <f>_xlfn.CONCAT("94240847296")</f>
        <v>94240847296</v>
      </c>
      <c r="I107" s="5" t="s">
        <v>28</v>
      </c>
      <c r="J107" s="5" t="s">
        <v>29</v>
      </c>
      <c r="K107" s="5" t="str">
        <f>_xlfn.CONCAT("")</f>
        <v/>
      </c>
      <c r="L107" s="5" t="str">
        <f>_xlfn.CONCAT("11 11.2 4b")</f>
        <v>11 11.2 4b</v>
      </c>
      <c r="M107" s="5" t="str">
        <f>_xlfn.CONCAT("TMSTTV58H01A329E")</f>
        <v>TMSTTV58H01A329E</v>
      </c>
      <c r="N107" s="5" t="s">
        <v>180</v>
      </c>
      <c r="O107" s="5" t="s">
        <v>157</v>
      </c>
      <c r="P107" s="6">
        <v>44166</v>
      </c>
      <c r="Q107" s="5" t="s">
        <v>30</v>
      </c>
      <c r="R107" s="5" t="s">
        <v>31</v>
      </c>
      <c r="S107" s="5" t="s">
        <v>32</v>
      </c>
      <c r="T107" s="5"/>
      <c r="U107" s="5">
        <v>582.64</v>
      </c>
      <c r="V107" s="5">
        <v>251.23</v>
      </c>
      <c r="W107" s="5">
        <v>232.01</v>
      </c>
      <c r="X107" s="5">
        <v>0</v>
      </c>
      <c r="Y107" s="5">
        <v>99.4</v>
      </c>
    </row>
    <row r="108" spans="1:25" ht="24.75" x14ac:dyDescent="0.25">
      <c r="A108" s="5" t="s">
        <v>26</v>
      </c>
      <c r="B108" s="5" t="s">
        <v>37</v>
      </c>
      <c r="C108" s="5" t="s">
        <v>44</v>
      </c>
      <c r="D108" s="5" t="s">
        <v>49</v>
      </c>
      <c r="E108" s="5" t="s">
        <v>34</v>
      </c>
      <c r="F108" s="5" t="s">
        <v>113</v>
      </c>
      <c r="G108" s="5">
        <v>2017</v>
      </c>
      <c r="H108" s="5" t="str">
        <f>_xlfn.CONCAT("74240597489")</f>
        <v>74240597489</v>
      </c>
      <c r="I108" s="5" t="s">
        <v>28</v>
      </c>
      <c r="J108" s="5" t="s">
        <v>29</v>
      </c>
      <c r="K108" s="5" t="str">
        <f>_xlfn.CONCAT("")</f>
        <v/>
      </c>
      <c r="L108" s="5" t="str">
        <f>_xlfn.CONCAT("11 11.2 4b")</f>
        <v>11 11.2 4b</v>
      </c>
      <c r="M108" s="5" t="str">
        <f>_xlfn.CONCAT("01717410433")</f>
        <v>01717410433</v>
      </c>
      <c r="N108" s="5" t="s">
        <v>181</v>
      </c>
      <c r="O108" s="5" t="s">
        <v>157</v>
      </c>
      <c r="P108" s="6">
        <v>44166</v>
      </c>
      <c r="Q108" s="5" t="s">
        <v>30</v>
      </c>
      <c r="R108" s="5" t="s">
        <v>31</v>
      </c>
      <c r="S108" s="5" t="s">
        <v>32</v>
      </c>
      <c r="T108" s="5"/>
      <c r="U108" s="5">
        <v>401.86</v>
      </c>
      <c r="V108" s="5">
        <v>173.28</v>
      </c>
      <c r="W108" s="5">
        <v>160.02000000000001</v>
      </c>
      <c r="X108" s="5">
        <v>0</v>
      </c>
      <c r="Y108" s="5">
        <v>68.56</v>
      </c>
    </row>
    <row r="109" spans="1:25" x14ac:dyDescent="0.25">
      <c r="A109" s="5" t="s">
        <v>26</v>
      </c>
      <c r="B109" s="5" t="s">
        <v>37</v>
      </c>
      <c r="C109" s="5" t="s">
        <v>44</v>
      </c>
      <c r="D109" s="5" t="s">
        <v>49</v>
      </c>
      <c r="E109" s="5" t="s">
        <v>34</v>
      </c>
      <c r="F109" s="5" t="s">
        <v>113</v>
      </c>
      <c r="G109" s="5">
        <v>2019</v>
      </c>
      <c r="H109" s="5" t="str">
        <f>_xlfn.CONCAT("94240675655")</f>
        <v>94240675655</v>
      </c>
      <c r="I109" s="5" t="s">
        <v>28</v>
      </c>
      <c r="J109" s="5" t="s">
        <v>29</v>
      </c>
      <c r="K109" s="5" t="str">
        <f>_xlfn.CONCAT("")</f>
        <v/>
      </c>
      <c r="L109" s="5" t="str">
        <f>_xlfn.CONCAT("11 11.2 4b")</f>
        <v>11 11.2 4b</v>
      </c>
      <c r="M109" s="5" t="str">
        <f>_xlfn.CONCAT("01988740435")</f>
        <v>01988740435</v>
      </c>
      <c r="N109" s="5" t="s">
        <v>182</v>
      </c>
      <c r="O109" s="5" t="s">
        <v>157</v>
      </c>
      <c r="P109" s="6">
        <v>44166</v>
      </c>
      <c r="Q109" s="5" t="s">
        <v>30</v>
      </c>
      <c r="R109" s="5" t="s">
        <v>31</v>
      </c>
      <c r="S109" s="5" t="s">
        <v>32</v>
      </c>
      <c r="T109" s="5"/>
      <c r="U109" s="5">
        <v>22.22</v>
      </c>
      <c r="V109" s="5">
        <v>9.58</v>
      </c>
      <c r="W109" s="5">
        <v>8.85</v>
      </c>
      <c r="X109" s="5">
        <v>0</v>
      </c>
      <c r="Y109" s="5">
        <v>3.79</v>
      </c>
    </row>
    <row r="110" spans="1:25" x14ac:dyDescent="0.25">
      <c r="A110" s="5" t="s">
        <v>26</v>
      </c>
      <c r="B110" s="5" t="s">
        <v>37</v>
      </c>
      <c r="C110" s="5" t="s">
        <v>44</v>
      </c>
      <c r="D110" s="5" t="s">
        <v>49</v>
      </c>
      <c r="E110" s="5" t="s">
        <v>34</v>
      </c>
      <c r="F110" s="5" t="s">
        <v>113</v>
      </c>
      <c r="G110" s="5">
        <v>2019</v>
      </c>
      <c r="H110" s="5" t="str">
        <f>_xlfn.CONCAT("94240091085")</f>
        <v>94240091085</v>
      </c>
      <c r="I110" s="5" t="s">
        <v>28</v>
      </c>
      <c r="J110" s="5" t="s">
        <v>29</v>
      </c>
      <c r="K110" s="5" t="str">
        <f>_xlfn.CONCAT("")</f>
        <v/>
      </c>
      <c r="L110" s="5" t="str">
        <f>_xlfn.CONCAT("11 11.2 4b")</f>
        <v>11 11.2 4b</v>
      </c>
      <c r="M110" s="5" t="str">
        <f>_xlfn.CONCAT("01741900433")</f>
        <v>01741900433</v>
      </c>
      <c r="N110" s="5" t="s">
        <v>183</v>
      </c>
      <c r="O110" s="5" t="s">
        <v>157</v>
      </c>
      <c r="P110" s="6">
        <v>44166</v>
      </c>
      <c r="Q110" s="5" t="s">
        <v>30</v>
      </c>
      <c r="R110" s="5" t="s">
        <v>31</v>
      </c>
      <c r="S110" s="5" t="s">
        <v>32</v>
      </c>
      <c r="T110" s="5"/>
      <c r="U110" s="7">
        <v>1167.8800000000001</v>
      </c>
      <c r="V110" s="5">
        <v>503.59</v>
      </c>
      <c r="W110" s="5">
        <v>465.05</v>
      </c>
      <c r="X110" s="5">
        <v>0</v>
      </c>
      <c r="Y110" s="5">
        <v>199.24</v>
      </c>
    </row>
    <row r="111" spans="1:25" ht="24.75" x14ac:dyDescent="0.25">
      <c r="A111" s="5" t="s">
        <v>26</v>
      </c>
      <c r="B111" s="5" t="s">
        <v>37</v>
      </c>
      <c r="C111" s="5" t="s">
        <v>44</v>
      </c>
      <c r="D111" s="5" t="s">
        <v>49</v>
      </c>
      <c r="E111" s="5" t="s">
        <v>36</v>
      </c>
      <c r="F111" s="5" t="s">
        <v>184</v>
      </c>
      <c r="G111" s="5">
        <v>2019</v>
      </c>
      <c r="H111" s="5" t="str">
        <f>_xlfn.CONCAT("94240594450")</f>
        <v>94240594450</v>
      </c>
      <c r="I111" s="5" t="s">
        <v>28</v>
      </c>
      <c r="J111" s="5" t="s">
        <v>29</v>
      </c>
      <c r="K111" s="5" t="str">
        <f>_xlfn.CONCAT("")</f>
        <v/>
      </c>
      <c r="L111" s="5" t="str">
        <f>_xlfn.CONCAT("11 11.2 4b")</f>
        <v>11 11.2 4b</v>
      </c>
      <c r="M111" s="5" t="str">
        <f>_xlfn.CONCAT("01445980434")</f>
        <v>01445980434</v>
      </c>
      <c r="N111" s="5" t="s">
        <v>185</v>
      </c>
      <c r="O111" s="5" t="s">
        <v>157</v>
      </c>
      <c r="P111" s="6">
        <v>44166</v>
      </c>
      <c r="Q111" s="5" t="s">
        <v>30</v>
      </c>
      <c r="R111" s="5" t="s">
        <v>31</v>
      </c>
      <c r="S111" s="5" t="s">
        <v>32</v>
      </c>
      <c r="T111" s="5"/>
      <c r="U111" s="5">
        <v>828.24</v>
      </c>
      <c r="V111" s="5">
        <v>357.14</v>
      </c>
      <c r="W111" s="5">
        <v>329.81</v>
      </c>
      <c r="X111" s="5">
        <v>0</v>
      </c>
      <c r="Y111" s="5">
        <v>141.29</v>
      </c>
    </row>
    <row r="112" spans="1:25" ht="24.75" x14ac:dyDescent="0.25">
      <c r="A112" s="5" t="s">
        <v>26</v>
      </c>
      <c r="B112" s="5" t="s">
        <v>37</v>
      </c>
      <c r="C112" s="5" t="s">
        <v>44</v>
      </c>
      <c r="D112" s="5" t="s">
        <v>49</v>
      </c>
      <c r="E112" s="5" t="s">
        <v>34</v>
      </c>
      <c r="F112" s="5" t="s">
        <v>113</v>
      </c>
      <c r="G112" s="5">
        <v>2019</v>
      </c>
      <c r="H112" s="5" t="str">
        <f>_xlfn.CONCAT("94240929870")</f>
        <v>94240929870</v>
      </c>
      <c r="I112" s="5" t="s">
        <v>28</v>
      </c>
      <c r="J112" s="5" t="s">
        <v>29</v>
      </c>
      <c r="K112" s="5" t="str">
        <f>_xlfn.CONCAT("")</f>
        <v/>
      </c>
      <c r="L112" s="5" t="str">
        <f>_xlfn.CONCAT("11 11.2 4b")</f>
        <v>11 11.2 4b</v>
      </c>
      <c r="M112" s="5" t="str">
        <f>_xlfn.CONCAT("01945810438")</f>
        <v>01945810438</v>
      </c>
      <c r="N112" s="5" t="s">
        <v>167</v>
      </c>
      <c r="O112" s="5" t="s">
        <v>157</v>
      </c>
      <c r="P112" s="6">
        <v>44166</v>
      </c>
      <c r="Q112" s="5" t="s">
        <v>30</v>
      </c>
      <c r="R112" s="5" t="s">
        <v>31</v>
      </c>
      <c r="S112" s="5" t="s">
        <v>32</v>
      </c>
      <c r="T112" s="5"/>
      <c r="U112" s="7">
        <v>2355.48</v>
      </c>
      <c r="V112" s="7">
        <v>1015.68</v>
      </c>
      <c r="W112" s="5">
        <v>937.95</v>
      </c>
      <c r="X112" s="5">
        <v>0</v>
      </c>
      <c r="Y112" s="5">
        <v>401.85</v>
      </c>
    </row>
    <row r="113" spans="1:25" ht="24.75" x14ac:dyDescent="0.25">
      <c r="A113" s="5" t="s">
        <v>26</v>
      </c>
      <c r="B113" s="5" t="s">
        <v>37</v>
      </c>
      <c r="C113" s="5" t="s">
        <v>44</v>
      </c>
      <c r="D113" s="5" t="s">
        <v>49</v>
      </c>
      <c r="E113" s="5" t="s">
        <v>34</v>
      </c>
      <c r="F113" s="5" t="s">
        <v>113</v>
      </c>
      <c r="G113" s="5">
        <v>2018</v>
      </c>
      <c r="H113" s="5" t="str">
        <f>_xlfn.CONCAT("84240495162")</f>
        <v>84240495162</v>
      </c>
      <c r="I113" s="5" t="s">
        <v>28</v>
      </c>
      <c r="J113" s="5" t="s">
        <v>29</v>
      </c>
      <c r="K113" s="5" t="str">
        <f>_xlfn.CONCAT("")</f>
        <v/>
      </c>
      <c r="L113" s="5" t="str">
        <f>_xlfn.CONCAT("11 11.2 4b")</f>
        <v>11 11.2 4b</v>
      </c>
      <c r="M113" s="5" t="str">
        <f>_xlfn.CONCAT("01141480432")</f>
        <v>01141480432</v>
      </c>
      <c r="N113" s="5" t="s">
        <v>168</v>
      </c>
      <c r="O113" s="5" t="s">
        <v>157</v>
      </c>
      <c r="P113" s="6">
        <v>44166</v>
      </c>
      <c r="Q113" s="5" t="s">
        <v>30</v>
      </c>
      <c r="R113" s="5" t="s">
        <v>31</v>
      </c>
      <c r="S113" s="5" t="s">
        <v>32</v>
      </c>
      <c r="T113" s="5"/>
      <c r="U113" s="7">
        <v>5223.67</v>
      </c>
      <c r="V113" s="7">
        <v>2252.4499999999998</v>
      </c>
      <c r="W113" s="7">
        <v>2080.0700000000002</v>
      </c>
      <c r="X113" s="5">
        <v>0</v>
      </c>
      <c r="Y113" s="5">
        <v>891.15</v>
      </c>
    </row>
    <row r="114" spans="1:25" ht="24.75" x14ac:dyDescent="0.25">
      <c r="A114" s="5" t="s">
        <v>26</v>
      </c>
      <c r="B114" s="5" t="s">
        <v>37</v>
      </c>
      <c r="C114" s="5" t="s">
        <v>44</v>
      </c>
      <c r="D114" s="5" t="s">
        <v>49</v>
      </c>
      <c r="E114" s="5" t="s">
        <v>34</v>
      </c>
      <c r="F114" s="5" t="s">
        <v>79</v>
      </c>
      <c r="G114" s="5">
        <v>2019</v>
      </c>
      <c r="H114" s="5" t="str">
        <f>_xlfn.CONCAT("94240870892")</f>
        <v>94240870892</v>
      </c>
      <c r="I114" s="5" t="s">
        <v>28</v>
      </c>
      <c r="J114" s="5" t="s">
        <v>29</v>
      </c>
      <c r="K114" s="5" t="str">
        <f>_xlfn.CONCAT("")</f>
        <v/>
      </c>
      <c r="L114" s="5" t="str">
        <f>_xlfn.CONCAT("11 11.1 4b")</f>
        <v>11 11.1 4b</v>
      </c>
      <c r="M114" s="5" t="str">
        <f>_xlfn.CONCAT("01907690430")</f>
        <v>01907690430</v>
      </c>
      <c r="N114" s="5" t="s">
        <v>186</v>
      </c>
      <c r="O114" s="5" t="s">
        <v>157</v>
      </c>
      <c r="P114" s="6">
        <v>44166</v>
      </c>
      <c r="Q114" s="5" t="s">
        <v>30</v>
      </c>
      <c r="R114" s="5" t="s">
        <v>31</v>
      </c>
      <c r="S114" s="5" t="s">
        <v>32</v>
      </c>
      <c r="T114" s="5"/>
      <c r="U114" s="7">
        <v>1294.98</v>
      </c>
      <c r="V114" s="5">
        <v>558.4</v>
      </c>
      <c r="W114" s="5">
        <v>515.66</v>
      </c>
      <c r="X114" s="5">
        <v>0</v>
      </c>
      <c r="Y114" s="5">
        <v>220.92</v>
      </c>
    </row>
    <row r="115" spans="1:25" x14ac:dyDescent="0.25">
      <c r="A115" s="5" t="s">
        <v>26</v>
      </c>
      <c r="B115" s="5" t="s">
        <v>37</v>
      </c>
      <c r="C115" s="5" t="s">
        <v>44</v>
      </c>
      <c r="D115" s="5" t="s">
        <v>49</v>
      </c>
      <c r="E115" s="5" t="s">
        <v>35</v>
      </c>
      <c r="F115" s="5" t="s">
        <v>53</v>
      </c>
      <c r="G115" s="5">
        <v>2019</v>
      </c>
      <c r="H115" s="5" t="str">
        <f>_xlfn.CONCAT("94240638349")</f>
        <v>94240638349</v>
      </c>
      <c r="I115" s="5" t="s">
        <v>28</v>
      </c>
      <c r="J115" s="5" t="s">
        <v>29</v>
      </c>
      <c r="K115" s="5" t="str">
        <f>_xlfn.CONCAT("")</f>
        <v/>
      </c>
      <c r="L115" s="5" t="str">
        <f>_xlfn.CONCAT("11 11.2 4b")</f>
        <v>11 11.2 4b</v>
      </c>
      <c r="M115" s="5" t="str">
        <f>_xlfn.CONCAT("SBBSLV77S69H211C")</f>
        <v>SBBSLV77S69H211C</v>
      </c>
      <c r="N115" s="5" t="s">
        <v>187</v>
      </c>
      <c r="O115" s="5" t="s">
        <v>157</v>
      </c>
      <c r="P115" s="6">
        <v>44166</v>
      </c>
      <c r="Q115" s="5" t="s">
        <v>30</v>
      </c>
      <c r="R115" s="5" t="s">
        <v>31</v>
      </c>
      <c r="S115" s="5" t="s">
        <v>32</v>
      </c>
      <c r="T115" s="5"/>
      <c r="U115" s="7">
        <v>2029.2</v>
      </c>
      <c r="V115" s="5">
        <v>874.99</v>
      </c>
      <c r="W115" s="5">
        <v>808.03</v>
      </c>
      <c r="X115" s="5">
        <v>0</v>
      </c>
      <c r="Y115" s="5">
        <v>346.18</v>
      </c>
    </row>
    <row r="116" spans="1:25" x14ac:dyDescent="0.25">
      <c r="A116" s="5" t="s">
        <v>26</v>
      </c>
      <c r="B116" s="5" t="s">
        <v>37</v>
      </c>
      <c r="C116" s="5" t="s">
        <v>44</v>
      </c>
      <c r="D116" s="5" t="s">
        <v>49</v>
      </c>
      <c r="E116" s="5" t="s">
        <v>38</v>
      </c>
      <c r="F116" s="5" t="s">
        <v>136</v>
      </c>
      <c r="G116" s="5">
        <v>2018</v>
      </c>
      <c r="H116" s="5" t="str">
        <f>_xlfn.CONCAT("84240589097")</f>
        <v>84240589097</v>
      </c>
      <c r="I116" s="5" t="s">
        <v>28</v>
      </c>
      <c r="J116" s="5" t="s">
        <v>29</v>
      </c>
      <c r="K116" s="5" t="str">
        <f>_xlfn.CONCAT("")</f>
        <v/>
      </c>
      <c r="L116" s="5" t="str">
        <f>_xlfn.CONCAT("11 11.1 4b")</f>
        <v>11 11.1 4b</v>
      </c>
      <c r="M116" s="5" t="str">
        <f>_xlfn.CONCAT("01915080434")</f>
        <v>01915080434</v>
      </c>
      <c r="N116" s="5" t="s">
        <v>170</v>
      </c>
      <c r="O116" s="5" t="s">
        <v>157</v>
      </c>
      <c r="P116" s="6">
        <v>44166</v>
      </c>
      <c r="Q116" s="5" t="s">
        <v>30</v>
      </c>
      <c r="R116" s="5" t="s">
        <v>31</v>
      </c>
      <c r="S116" s="5" t="s">
        <v>32</v>
      </c>
      <c r="T116" s="5"/>
      <c r="U116" s="5">
        <v>601.86</v>
      </c>
      <c r="V116" s="5">
        <v>259.52</v>
      </c>
      <c r="W116" s="5">
        <v>239.66</v>
      </c>
      <c r="X116" s="5">
        <v>0</v>
      </c>
      <c r="Y116" s="5">
        <v>102.68</v>
      </c>
    </row>
    <row r="117" spans="1:25" x14ac:dyDescent="0.25">
      <c r="A117" s="5" t="s">
        <v>26</v>
      </c>
      <c r="B117" s="5" t="s">
        <v>37</v>
      </c>
      <c r="C117" s="5" t="s">
        <v>44</v>
      </c>
      <c r="D117" s="5" t="s">
        <v>49</v>
      </c>
      <c r="E117" s="5" t="s">
        <v>38</v>
      </c>
      <c r="F117" s="5" t="s">
        <v>136</v>
      </c>
      <c r="G117" s="5">
        <v>2019</v>
      </c>
      <c r="H117" s="5" t="str">
        <f>_xlfn.CONCAT("94240948250")</f>
        <v>94240948250</v>
      </c>
      <c r="I117" s="5" t="s">
        <v>28</v>
      </c>
      <c r="J117" s="5" t="s">
        <v>29</v>
      </c>
      <c r="K117" s="5" t="str">
        <f>_xlfn.CONCAT("")</f>
        <v/>
      </c>
      <c r="L117" s="5" t="str">
        <f>_xlfn.CONCAT("11 11.1 4b")</f>
        <v>11 11.1 4b</v>
      </c>
      <c r="M117" s="5" t="str">
        <f>_xlfn.CONCAT("01915080434")</f>
        <v>01915080434</v>
      </c>
      <c r="N117" s="5" t="s">
        <v>170</v>
      </c>
      <c r="O117" s="5" t="s">
        <v>157</v>
      </c>
      <c r="P117" s="6">
        <v>44166</v>
      </c>
      <c r="Q117" s="5" t="s">
        <v>30</v>
      </c>
      <c r="R117" s="5" t="s">
        <v>31</v>
      </c>
      <c r="S117" s="5" t="s">
        <v>32</v>
      </c>
      <c r="T117" s="5"/>
      <c r="U117" s="5">
        <v>253.42</v>
      </c>
      <c r="V117" s="5">
        <v>109.27</v>
      </c>
      <c r="W117" s="5">
        <v>100.91</v>
      </c>
      <c r="X117" s="5">
        <v>0</v>
      </c>
      <c r="Y117" s="5">
        <v>43.24</v>
      </c>
    </row>
    <row r="118" spans="1:25" x14ac:dyDescent="0.25">
      <c r="A118" s="5" t="s">
        <v>26</v>
      </c>
      <c r="B118" s="5" t="s">
        <v>37</v>
      </c>
      <c r="C118" s="5" t="s">
        <v>44</v>
      </c>
      <c r="D118" s="5" t="s">
        <v>49</v>
      </c>
      <c r="E118" s="5" t="s">
        <v>34</v>
      </c>
      <c r="F118" s="5" t="s">
        <v>50</v>
      </c>
      <c r="G118" s="5">
        <v>2019</v>
      </c>
      <c r="H118" s="5" t="str">
        <f>_xlfn.CONCAT("94241001414")</f>
        <v>94241001414</v>
      </c>
      <c r="I118" s="5" t="s">
        <v>28</v>
      </c>
      <c r="J118" s="5" t="s">
        <v>29</v>
      </c>
      <c r="K118" s="5" t="str">
        <f>_xlfn.CONCAT("")</f>
        <v/>
      </c>
      <c r="L118" s="5" t="str">
        <f>_xlfn.CONCAT("11 11.2 4b")</f>
        <v>11 11.2 4b</v>
      </c>
      <c r="M118" s="5" t="str">
        <f>_xlfn.CONCAT("SNCMRA82P08L191J")</f>
        <v>SNCMRA82P08L191J</v>
      </c>
      <c r="N118" s="5" t="s">
        <v>188</v>
      </c>
      <c r="O118" s="5" t="s">
        <v>157</v>
      </c>
      <c r="P118" s="6">
        <v>44166</v>
      </c>
      <c r="Q118" s="5" t="s">
        <v>30</v>
      </c>
      <c r="R118" s="5" t="s">
        <v>31</v>
      </c>
      <c r="S118" s="5" t="s">
        <v>32</v>
      </c>
      <c r="T118" s="5"/>
      <c r="U118" s="7">
        <v>1180.72</v>
      </c>
      <c r="V118" s="5">
        <v>509.13</v>
      </c>
      <c r="W118" s="5">
        <v>470.16</v>
      </c>
      <c r="X118" s="5">
        <v>0</v>
      </c>
      <c r="Y118" s="5">
        <v>201.43</v>
      </c>
    </row>
    <row r="119" spans="1:25" x14ac:dyDescent="0.25">
      <c r="A119" s="5" t="s">
        <v>26</v>
      </c>
      <c r="B119" s="5" t="s">
        <v>37</v>
      </c>
      <c r="C119" s="5" t="s">
        <v>44</v>
      </c>
      <c r="D119" s="5" t="s">
        <v>49</v>
      </c>
      <c r="E119" s="5" t="s">
        <v>34</v>
      </c>
      <c r="F119" s="5" t="s">
        <v>113</v>
      </c>
      <c r="G119" s="5">
        <v>2018</v>
      </c>
      <c r="H119" s="5" t="str">
        <f>_xlfn.CONCAT("84240411128")</f>
        <v>84240411128</v>
      </c>
      <c r="I119" s="5" t="s">
        <v>28</v>
      </c>
      <c r="J119" s="5" t="s">
        <v>29</v>
      </c>
      <c r="K119" s="5" t="str">
        <f>_xlfn.CONCAT("")</f>
        <v/>
      </c>
      <c r="L119" s="5" t="str">
        <f>_xlfn.CONCAT("11 11.2 4b")</f>
        <v>11 11.2 4b</v>
      </c>
      <c r="M119" s="5" t="str">
        <f>_xlfn.CONCAT("SLVLCU88H23B474S")</f>
        <v>SLVLCU88H23B474S</v>
      </c>
      <c r="N119" s="5" t="s">
        <v>189</v>
      </c>
      <c r="O119" s="5" t="s">
        <v>157</v>
      </c>
      <c r="P119" s="6">
        <v>44166</v>
      </c>
      <c r="Q119" s="5" t="s">
        <v>30</v>
      </c>
      <c r="R119" s="5" t="s">
        <v>31</v>
      </c>
      <c r="S119" s="5" t="s">
        <v>32</v>
      </c>
      <c r="T119" s="5"/>
      <c r="U119" s="5">
        <v>349.95</v>
      </c>
      <c r="V119" s="5">
        <v>150.9</v>
      </c>
      <c r="W119" s="5">
        <v>139.35</v>
      </c>
      <c r="X119" s="5">
        <v>0</v>
      </c>
      <c r="Y119" s="5">
        <v>59.7</v>
      </c>
    </row>
    <row r="120" spans="1:25" x14ac:dyDescent="0.25">
      <c r="A120" s="5" t="s">
        <v>26</v>
      </c>
      <c r="B120" s="5" t="s">
        <v>37</v>
      </c>
      <c r="C120" s="5" t="s">
        <v>44</v>
      </c>
      <c r="D120" s="5" t="s">
        <v>49</v>
      </c>
      <c r="E120" s="5" t="s">
        <v>34</v>
      </c>
      <c r="F120" s="5" t="s">
        <v>113</v>
      </c>
      <c r="G120" s="5">
        <v>2019</v>
      </c>
      <c r="H120" s="5" t="str">
        <f>_xlfn.CONCAT("94240152754")</f>
        <v>94240152754</v>
      </c>
      <c r="I120" s="5" t="s">
        <v>28</v>
      </c>
      <c r="J120" s="5" t="s">
        <v>29</v>
      </c>
      <c r="K120" s="5" t="str">
        <f>_xlfn.CONCAT("")</f>
        <v/>
      </c>
      <c r="L120" s="5" t="str">
        <f>_xlfn.CONCAT("11 11.2 4b")</f>
        <v>11 11.2 4b</v>
      </c>
      <c r="M120" s="5" t="str">
        <f>_xlfn.CONCAT("SLVLCU88H23B474S")</f>
        <v>SLVLCU88H23B474S</v>
      </c>
      <c r="N120" s="5" t="s">
        <v>189</v>
      </c>
      <c r="O120" s="5" t="s">
        <v>157</v>
      </c>
      <c r="P120" s="6">
        <v>44166</v>
      </c>
      <c r="Q120" s="5" t="s">
        <v>30</v>
      </c>
      <c r="R120" s="5" t="s">
        <v>31</v>
      </c>
      <c r="S120" s="5" t="s">
        <v>32</v>
      </c>
      <c r="T120" s="5"/>
      <c r="U120" s="7">
        <v>1497.93</v>
      </c>
      <c r="V120" s="5">
        <v>645.91</v>
      </c>
      <c r="W120" s="5">
        <v>596.48</v>
      </c>
      <c r="X120" s="5">
        <v>0</v>
      </c>
      <c r="Y120" s="5">
        <v>255.54</v>
      </c>
    </row>
    <row r="121" spans="1:25" ht="24.75" x14ac:dyDescent="0.25">
      <c r="A121" s="5" t="s">
        <v>26</v>
      </c>
      <c r="B121" s="5" t="s">
        <v>37</v>
      </c>
      <c r="C121" s="5" t="s">
        <v>44</v>
      </c>
      <c r="D121" s="5" t="s">
        <v>49</v>
      </c>
      <c r="E121" s="5" t="s">
        <v>35</v>
      </c>
      <c r="F121" s="5" t="s">
        <v>53</v>
      </c>
      <c r="G121" s="5">
        <v>2017</v>
      </c>
      <c r="H121" s="5" t="str">
        <f>_xlfn.CONCAT("74240568647")</f>
        <v>74240568647</v>
      </c>
      <c r="I121" s="5" t="s">
        <v>28</v>
      </c>
      <c r="J121" s="5" t="s">
        <v>29</v>
      </c>
      <c r="K121" s="5" t="str">
        <f>_xlfn.CONCAT("")</f>
        <v/>
      </c>
      <c r="L121" s="5" t="str">
        <f>_xlfn.CONCAT("11 11.1 4b")</f>
        <v>11 11.1 4b</v>
      </c>
      <c r="M121" s="5" t="str">
        <f>_xlfn.CONCAT("01912920434")</f>
        <v>01912920434</v>
      </c>
      <c r="N121" s="5" t="s">
        <v>190</v>
      </c>
      <c r="O121" s="5" t="s">
        <v>157</v>
      </c>
      <c r="P121" s="6">
        <v>44166</v>
      </c>
      <c r="Q121" s="5" t="s">
        <v>30</v>
      </c>
      <c r="R121" s="5" t="s">
        <v>31</v>
      </c>
      <c r="S121" s="5" t="s">
        <v>32</v>
      </c>
      <c r="T121" s="5"/>
      <c r="U121" s="7">
        <v>5802.39</v>
      </c>
      <c r="V121" s="7">
        <v>2501.9899999999998</v>
      </c>
      <c r="W121" s="7">
        <v>2310.5100000000002</v>
      </c>
      <c r="X121" s="5">
        <v>0</v>
      </c>
      <c r="Y121" s="5">
        <v>989.89</v>
      </c>
    </row>
    <row r="122" spans="1:25" ht="24.75" x14ac:dyDescent="0.25">
      <c r="A122" s="5" t="s">
        <v>26</v>
      </c>
      <c r="B122" s="5" t="s">
        <v>37</v>
      </c>
      <c r="C122" s="5" t="s">
        <v>44</v>
      </c>
      <c r="D122" s="5" t="s">
        <v>49</v>
      </c>
      <c r="E122" s="5" t="s">
        <v>35</v>
      </c>
      <c r="F122" s="5" t="s">
        <v>53</v>
      </c>
      <c r="G122" s="5">
        <v>2018</v>
      </c>
      <c r="H122" s="5" t="str">
        <f>_xlfn.CONCAT("84240679765")</f>
        <v>84240679765</v>
      </c>
      <c r="I122" s="5" t="s">
        <v>28</v>
      </c>
      <c r="J122" s="5" t="s">
        <v>29</v>
      </c>
      <c r="K122" s="5" t="str">
        <f>_xlfn.CONCAT("")</f>
        <v/>
      </c>
      <c r="L122" s="5" t="str">
        <f>_xlfn.CONCAT("11 11.1 4b")</f>
        <v>11 11.1 4b</v>
      </c>
      <c r="M122" s="5" t="str">
        <f>_xlfn.CONCAT("01912920434")</f>
        <v>01912920434</v>
      </c>
      <c r="N122" s="5" t="s">
        <v>190</v>
      </c>
      <c r="O122" s="5" t="s">
        <v>157</v>
      </c>
      <c r="P122" s="6">
        <v>44166</v>
      </c>
      <c r="Q122" s="5" t="s">
        <v>30</v>
      </c>
      <c r="R122" s="5" t="s">
        <v>31</v>
      </c>
      <c r="S122" s="5" t="s">
        <v>32</v>
      </c>
      <c r="T122" s="5"/>
      <c r="U122" s="7">
        <v>6654.44</v>
      </c>
      <c r="V122" s="7">
        <v>2869.39</v>
      </c>
      <c r="W122" s="7">
        <v>2649.8</v>
      </c>
      <c r="X122" s="5">
        <v>0</v>
      </c>
      <c r="Y122" s="7">
        <v>1135.25</v>
      </c>
    </row>
    <row r="123" spans="1:25" ht="24.75" x14ac:dyDescent="0.25">
      <c r="A123" s="5" t="s">
        <v>26</v>
      </c>
      <c r="B123" s="5" t="s">
        <v>37</v>
      </c>
      <c r="C123" s="5" t="s">
        <v>44</v>
      </c>
      <c r="D123" s="5" t="s">
        <v>49</v>
      </c>
      <c r="E123" s="5" t="s">
        <v>35</v>
      </c>
      <c r="F123" s="5" t="s">
        <v>53</v>
      </c>
      <c r="G123" s="5">
        <v>2019</v>
      </c>
      <c r="H123" s="5" t="str">
        <f>_xlfn.CONCAT("94240747553")</f>
        <v>94240747553</v>
      </c>
      <c r="I123" s="5" t="s">
        <v>28</v>
      </c>
      <c r="J123" s="5" t="s">
        <v>29</v>
      </c>
      <c r="K123" s="5" t="str">
        <f>_xlfn.CONCAT("")</f>
        <v/>
      </c>
      <c r="L123" s="5" t="str">
        <f>_xlfn.CONCAT("11 11.1 4b")</f>
        <v>11 11.1 4b</v>
      </c>
      <c r="M123" s="5" t="str">
        <f>_xlfn.CONCAT("01912920434")</f>
        <v>01912920434</v>
      </c>
      <c r="N123" s="5" t="s">
        <v>190</v>
      </c>
      <c r="O123" s="5" t="s">
        <v>157</v>
      </c>
      <c r="P123" s="6">
        <v>44166</v>
      </c>
      <c r="Q123" s="5" t="s">
        <v>30</v>
      </c>
      <c r="R123" s="5" t="s">
        <v>31</v>
      </c>
      <c r="S123" s="5" t="s">
        <v>32</v>
      </c>
      <c r="T123" s="5"/>
      <c r="U123" s="7">
        <v>6676.09</v>
      </c>
      <c r="V123" s="7">
        <v>2878.73</v>
      </c>
      <c r="W123" s="7">
        <v>2658.42</v>
      </c>
      <c r="X123" s="5">
        <v>0</v>
      </c>
      <c r="Y123" s="7">
        <v>1138.94</v>
      </c>
    </row>
    <row r="124" spans="1:25" x14ac:dyDescent="0.25">
      <c r="A124" s="5" t="s">
        <v>26</v>
      </c>
      <c r="B124" s="5" t="s">
        <v>37</v>
      </c>
      <c r="C124" s="5" t="s">
        <v>44</v>
      </c>
      <c r="D124" s="5" t="s">
        <v>49</v>
      </c>
      <c r="E124" s="5" t="s">
        <v>34</v>
      </c>
      <c r="F124" s="5" t="s">
        <v>113</v>
      </c>
      <c r="G124" s="5">
        <v>2018</v>
      </c>
      <c r="H124" s="5" t="str">
        <f>_xlfn.CONCAT("84240332357")</f>
        <v>84240332357</v>
      </c>
      <c r="I124" s="5" t="s">
        <v>28</v>
      </c>
      <c r="J124" s="5" t="s">
        <v>29</v>
      </c>
      <c r="K124" s="5" t="str">
        <f>_xlfn.CONCAT("")</f>
        <v/>
      </c>
      <c r="L124" s="5" t="str">
        <f>_xlfn.CONCAT("11 11.1 4b")</f>
        <v>11 11.1 4b</v>
      </c>
      <c r="M124" s="5" t="str">
        <f>_xlfn.CONCAT("CHMMCR87C54B474F")</f>
        <v>CHMMCR87C54B474F</v>
      </c>
      <c r="N124" s="5" t="s">
        <v>191</v>
      </c>
      <c r="O124" s="5" t="s">
        <v>157</v>
      </c>
      <c r="P124" s="6">
        <v>44166</v>
      </c>
      <c r="Q124" s="5" t="s">
        <v>30</v>
      </c>
      <c r="R124" s="5" t="s">
        <v>31</v>
      </c>
      <c r="S124" s="5" t="s">
        <v>32</v>
      </c>
      <c r="T124" s="5"/>
      <c r="U124" s="5">
        <v>194.67</v>
      </c>
      <c r="V124" s="5">
        <v>83.94</v>
      </c>
      <c r="W124" s="5">
        <v>77.52</v>
      </c>
      <c r="X124" s="5">
        <v>0</v>
      </c>
      <c r="Y124" s="5">
        <v>33.21</v>
      </c>
    </row>
    <row r="125" spans="1:25" x14ac:dyDescent="0.25">
      <c r="A125" s="5" t="s">
        <v>26</v>
      </c>
      <c r="B125" s="5" t="s">
        <v>37</v>
      </c>
      <c r="C125" s="5" t="s">
        <v>44</v>
      </c>
      <c r="D125" s="5" t="s">
        <v>49</v>
      </c>
      <c r="E125" s="5" t="s">
        <v>34</v>
      </c>
      <c r="F125" s="5" t="s">
        <v>113</v>
      </c>
      <c r="G125" s="5">
        <v>2019</v>
      </c>
      <c r="H125" s="5" t="str">
        <f>_xlfn.CONCAT("94240085087")</f>
        <v>94240085087</v>
      </c>
      <c r="I125" s="5" t="s">
        <v>28</v>
      </c>
      <c r="J125" s="5" t="s">
        <v>29</v>
      </c>
      <c r="K125" s="5" t="str">
        <f>_xlfn.CONCAT("")</f>
        <v/>
      </c>
      <c r="L125" s="5" t="str">
        <f>_xlfn.CONCAT("11 11.1 4b")</f>
        <v>11 11.1 4b</v>
      </c>
      <c r="M125" s="5" t="str">
        <f>_xlfn.CONCAT("CHMMCR87C54B474F")</f>
        <v>CHMMCR87C54B474F</v>
      </c>
      <c r="N125" s="5" t="s">
        <v>191</v>
      </c>
      <c r="O125" s="5" t="s">
        <v>157</v>
      </c>
      <c r="P125" s="6">
        <v>44166</v>
      </c>
      <c r="Q125" s="5" t="s">
        <v>30</v>
      </c>
      <c r="R125" s="5" t="s">
        <v>31</v>
      </c>
      <c r="S125" s="5" t="s">
        <v>32</v>
      </c>
      <c r="T125" s="5"/>
      <c r="U125" s="5">
        <v>944.78</v>
      </c>
      <c r="V125" s="5">
        <v>407.39</v>
      </c>
      <c r="W125" s="5">
        <v>376.21</v>
      </c>
      <c r="X125" s="5">
        <v>0</v>
      </c>
      <c r="Y125" s="5">
        <v>161.18</v>
      </c>
    </row>
    <row r="126" spans="1:25" x14ac:dyDescent="0.25">
      <c r="A126" s="5" t="s">
        <v>26</v>
      </c>
      <c r="B126" s="5" t="s">
        <v>37</v>
      </c>
      <c r="C126" s="5" t="s">
        <v>44</v>
      </c>
      <c r="D126" s="5" t="s">
        <v>49</v>
      </c>
      <c r="E126" s="5" t="s">
        <v>38</v>
      </c>
      <c r="F126" s="5" t="s">
        <v>136</v>
      </c>
      <c r="G126" s="5">
        <v>2017</v>
      </c>
      <c r="H126" s="5" t="str">
        <f>_xlfn.CONCAT("74240627948")</f>
        <v>74240627948</v>
      </c>
      <c r="I126" s="5" t="s">
        <v>28</v>
      </c>
      <c r="J126" s="5" t="s">
        <v>29</v>
      </c>
      <c r="K126" s="5" t="str">
        <f>_xlfn.CONCAT("")</f>
        <v/>
      </c>
      <c r="L126" s="5" t="str">
        <f>_xlfn.CONCAT("11 11.2 4b")</f>
        <v>11 11.2 4b</v>
      </c>
      <c r="M126" s="5" t="str">
        <f>_xlfn.CONCAT("BRNGZN70P29H211F")</f>
        <v>BRNGZN70P29H211F</v>
      </c>
      <c r="N126" s="5" t="s">
        <v>172</v>
      </c>
      <c r="O126" s="5" t="s">
        <v>157</v>
      </c>
      <c r="P126" s="6">
        <v>44166</v>
      </c>
      <c r="Q126" s="5" t="s">
        <v>30</v>
      </c>
      <c r="R126" s="5" t="s">
        <v>31</v>
      </c>
      <c r="S126" s="5" t="s">
        <v>32</v>
      </c>
      <c r="T126" s="5"/>
      <c r="U126" s="7">
        <v>2207.1</v>
      </c>
      <c r="V126" s="5">
        <v>951.7</v>
      </c>
      <c r="W126" s="5">
        <v>878.87</v>
      </c>
      <c r="X126" s="5">
        <v>0</v>
      </c>
      <c r="Y126" s="5">
        <v>376.53</v>
      </c>
    </row>
    <row r="127" spans="1:25" x14ac:dyDescent="0.25">
      <c r="A127" s="5" t="s">
        <v>26</v>
      </c>
      <c r="B127" s="5" t="s">
        <v>37</v>
      </c>
      <c r="C127" s="5" t="s">
        <v>44</v>
      </c>
      <c r="D127" s="5" t="s">
        <v>49</v>
      </c>
      <c r="E127" s="5" t="s">
        <v>38</v>
      </c>
      <c r="F127" s="5" t="s">
        <v>136</v>
      </c>
      <c r="G127" s="5">
        <v>2019</v>
      </c>
      <c r="H127" s="5" t="str">
        <f>_xlfn.CONCAT("94240974041")</f>
        <v>94240974041</v>
      </c>
      <c r="I127" s="5" t="s">
        <v>28</v>
      </c>
      <c r="J127" s="5" t="s">
        <v>29</v>
      </c>
      <c r="K127" s="5" t="str">
        <f>_xlfn.CONCAT("")</f>
        <v/>
      </c>
      <c r="L127" s="5" t="str">
        <f>_xlfn.CONCAT("11 11.2 4b")</f>
        <v>11 11.2 4b</v>
      </c>
      <c r="M127" s="5" t="str">
        <f>_xlfn.CONCAT("BRNGZN70P29H211F")</f>
        <v>BRNGZN70P29H211F</v>
      </c>
      <c r="N127" s="5" t="s">
        <v>172</v>
      </c>
      <c r="O127" s="5" t="s">
        <v>157</v>
      </c>
      <c r="P127" s="6">
        <v>44166</v>
      </c>
      <c r="Q127" s="5" t="s">
        <v>30</v>
      </c>
      <c r="R127" s="5" t="s">
        <v>31</v>
      </c>
      <c r="S127" s="5" t="s">
        <v>32</v>
      </c>
      <c r="T127" s="5"/>
      <c r="U127" s="7">
        <v>1473.07</v>
      </c>
      <c r="V127" s="5">
        <v>635.19000000000005</v>
      </c>
      <c r="W127" s="5">
        <v>586.58000000000004</v>
      </c>
      <c r="X127" s="5">
        <v>0</v>
      </c>
      <c r="Y127" s="5">
        <v>251.3</v>
      </c>
    </row>
    <row r="128" spans="1:25" x14ac:dyDescent="0.25">
      <c r="A128" s="5" t="s">
        <v>26</v>
      </c>
      <c r="B128" s="5" t="s">
        <v>37</v>
      </c>
      <c r="C128" s="5" t="s">
        <v>44</v>
      </c>
      <c r="D128" s="5" t="s">
        <v>49</v>
      </c>
      <c r="E128" s="5" t="s">
        <v>34</v>
      </c>
      <c r="F128" s="5" t="s">
        <v>79</v>
      </c>
      <c r="G128" s="5">
        <v>2019</v>
      </c>
      <c r="H128" s="5" t="str">
        <f>_xlfn.CONCAT("94240964539")</f>
        <v>94240964539</v>
      </c>
      <c r="I128" s="5" t="s">
        <v>28</v>
      </c>
      <c r="J128" s="5" t="s">
        <v>29</v>
      </c>
      <c r="K128" s="5" t="str">
        <f>_xlfn.CONCAT("")</f>
        <v/>
      </c>
      <c r="L128" s="5" t="str">
        <f>_xlfn.CONCAT("11 11.2 4b")</f>
        <v>11 11.2 4b</v>
      </c>
      <c r="M128" s="5" t="str">
        <f>_xlfn.CONCAT("TRDREU58D02C770O")</f>
        <v>TRDREU58D02C770O</v>
      </c>
      <c r="N128" s="5" t="s">
        <v>192</v>
      </c>
      <c r="O128" s="5" t="s">
        <v>157</v>
      </c>
      <c r="P128" s="6">
        <v>44166</v>
      </c>
      <c r="Q128" s="5" t="s">
        <v>30</v>
      </c>
      <c r="R128" s="5" t="s">
        <v>31</v>
      </c>
      <c r="S128" s="5" t="s">
        <v>32</v>
      </c>
      <c r="T128" s="5"/>
      <c r="U128" s="5">
        <v>733.79</v>
      </c>
      <c r="V128" s="5">
        <v>316.41000000000003</v>
      </c>
      <c r="W128" s="5">
        <v>292.2</v>
      </c>
      <c r="X128" s="5">
        <v>0</v>
      </c>
      <c r="Y128" s="5">
        <v>125.18</v>
      </c>
    </row>
    <row r="129" spans="1:25" x14ac:dyDescent="0.25">
      <c r="A129" s="5" t="s">
        <v>26</v>
      </c>
      <c r="B129" s="5" t="s">
        <v>37</v>
      </c>
      <c r="C129" s="5" t="s">
        <v>44</v>
      </c>
      <c r="D129" s="5" t="s">
        <v>49</v>
      </c>
      <c r="E129" s="5" t="s">
        <v>34</v>
      </c>
      <c r="F129" s="5" t="s">
        <v>113</v>
      </c>
      <c r="G129" s="5">
        <v>2019</v>
      </c>
      <c r="H129" s="5" t="str">
        <f>_xlfn.CONCAT("94240111453")</f>
        <v>94240111453</v>
      </c>
      <c r="I129" s="5" t="s">
        <v>28</v>
      </c>
      <c r="J129" s="5" t="s">
        <v>29</v>
      </c>
      <c r="K129" s="5" t="str">
        <f>_xlfn.CONCAT("")</f>
        <v/>
      </c>
      <c r="L129" s="5" t="str">
        <f>_xlfn.CONCAT("11 11.1 4b")</f>
        <v>11 11.1 4b</v>
      </c>
      <c r="M129" s="5" t="str">
        <f>_xlfn.CONCAT("CRSSRA89H64B474Q")</f>
        <v>CRSSRA89H64B474Q</v>
      </c>
      <c r="N129" s="5" t="s">
        <v>159</v>
      </c>
      <c r="O129" s="5" t="s">
        <v>157</v>
      </c>
      <c r="P129" s="6">
        <v>44166</v>
      </c>
      <c r="Q129" s="5" t="s">
        <v>30</v>
      </c>
      <c r="R129" s="5" t="s">
        <v>31</v>
      </c>
      <c r="S129" s="5" t="s">
        <v>32</v>
      </c>
      <c r="T129" s="5"/>
      <c r="U129" s="7">
        <v>5248.24</v>
      </c>
      <c r="V129" s="7">
        <v>2263.04</v>
      </c>
      <c r="W129" s="7">
        <v>2089.85</v>
      </c>
      <c r="X129" s="5">
        <v>0</v>
      </c>
      <c r="Y129" s="5">
        <v>895.35</v>
      </c>
    </row>
    <row r="130" spans="1:25" x14ac:dyDescent="0.25">
      <c r="A130" s="5" t="s">
        <v>26</v>
      </c>
      <c r="B130" s="5" t="s">
        <v>37</v>
      </c>
      <c r="C130" s="5" t="s">
        <v>44</v>
      </c>
      <c r="D130" s="5" t="s">
        <v>49</v>
      </c>
      <c r="E130" s="5" t="s">
        <v>38</v>
      </c>
      <c r="F130" s="5" t="s">
        <v>136</v>
      </c>
      <c r="G130" s="5">
        <v>2019</v>
      </c>
      <c r="H130" s="5" t="str">
        <f>_xlfn.CONCAT("94241170722")</f>
        <v>94241170722</v>
      </c>
      <c r="I130" s="5" t="s">
        <v>28</v>
      </c>
      <c r="J130" s="5" t="s">
        <v>29</v>
      </c>
      <c r="K130" s="5" t="str">
        <f>_xlfn.CONCAT("")</f>
        <v/>
      </c>
      <c r="L130" s="5" t="str">
        <f>_xlfn.CONCAT("11 11.2 4b")</f>
        <v>11 11.2 4b</v>
      </c>
      <c r="M130" s="5" t="str">
        <f>_xlfn.CONCAT("BTTFNC77B47H211O")</f>
        <v>BTTFNC77B47H211O</v>
      </c>
      <c r="N130" s="5" t="s">
        <v>193</v>
      </c>
      <c r="O130" s="5" t="s">
        <v>157</v>
      </c>
      <c r="P130" s="6">
        <v>44166</v>
      </c>
      <c r="Q130" s="5" t="s">
        <v>30</v>
      </c>
      <c r="R130" s="5" t="s">
        <v>31</v>
      </c>
      <c r="S130" s="5" t="s">
        <v>32</v>
      </c>
      <c r="T130" s="5"/>
      <c r="U130" s="5">
        <v>865.66</v>
      </c>
      <c r="V130" s="5">
        <v>373.27</v>
      </c>
      <c r="W130" s="5">
        <v>344.71</v>
      </c>
      <c r="X130" s="5">
        <v>0</v>
      </c>
      <c r="Y130" s="5">
        <v>147.68</v>
      </c>
    </row>
    <row r="131" spans="1:25" x14ac:dyDescent="0.25">
      <c r="A131" s="5" t="s">
        <v>26</v>
      </c>
      <c r="B131" s="5" t="s">
        <v>37</v>
      </c>
      <c r="C131" s="5" t="s">
        <v>44</v>
      </c>
      <c r="D131" s="5" t="s">
        <v>49</v>
      </c>
      <c r="E131" s="5" t="s">
        <v>34</v>
      </c>
      <c r="F131" s="5" t="s">
        <v>113</v>
      </c>
      <c r="G131" s="5">
        <v>2019</v>
      </c>
      <c r="H131" s="5" t="str">
        <f>_xlfn.CONCAT("94240079999")</f>
        <v>94240079999</v>
      </c>
      <c r="I131" s="5" t="s">
        <v>28</v>
      </c>
      <c r="J131" s="5" t="s">
        <v>29</v>
      </c>
      <c r="K131" s="5" t="str">
        <f>_xlfn.CONCAT("")</f>
        <v/>
      </c>
      <c r="L131" s="5" t="str">
        <f>_xlfn.CONCAT("11 11.2 4b")</f>
        <v>11 11.2 4b</v>
      </c>
      <c r="M131" s="5" t="str">
        <f>_xlfn.CONCAT("BRGRRT63A18D429U")</f>
        <v>BRGRRT63A18D429U</v>
      </c>
      <c r="N131" s="5" t="s">
        <v>194</v>
      </c>
      <c r="O131" s="5" t="s">
        <v>157</v>
      </c>
      <c r="P131" s="6">
        <v>44166</v>
      </c>
      <c r="Q131" s="5" t="s">
        <v>30</v>
      </c>
      <c r="R131" s="5" t="s">
        <v>31</v>
      </c>
      <c r="S131" s="5" t="s">
        <v>32</v>
      </c>
      <c r="T131" s="5"/>
      <c r="U131" s="7">
        <v>1047.68</v>
      </c>
      <c r="V131" s="5">
        <v>451.76</v>
      </c>
      <c r="W131" s="5">
        <v>417.19</v>
      </c>
      <c r="X131" s="5">
        <v>0</v>
      </c>
      <c r="Y131" s="5">
        <v>178.73</v>
      </c>
    </row>
    <row r="132" spans="1:25" x14ac:dyDescent="0.25">
      <c r="A132" s="5" t="s">
        <v>26</v>
      </c>
      <c r="B132" s="5" t="s">
        <v>37</v>
      </c>
      <c r="C132" s="5" t="s">
        <v>44</v>
      </c>
      <c r="D132" s="5" t="s">
        <v>49</v>
      </c>
      <c r="E132" s="5" t="s">
        <v>34</v>
      </c>
      <c r="F132" s="5" t="s">
        <v>50</v>
      </c>
      <c r="G132" s="5">
        <v>2019</v>
      </c>
      <c r="H132" s="5" t="str">
        <f>_xlfn.CONCAT("94240951726")</f>
        <v>94240951726</v>
      </c>
      <c r="I132" s="5" t="s">
        <v>28</v>
      </c>
      <c r="J132" s="5" t="s">
        <v>29</v>
      </c>
      <c r="K132" s="5" t="str">
        <f>_xlfn.CONCAT("")</f>
        <v/>
      </c>
      <c r="L132" s="5" t="str">
        <f>_xlfn.CONCAT("11 11.2 4b")</f>
        <v>11 11.2 4b</v>
      </c>
      <c r="M132" s="5" t="str">
        <f>_xlfn.CONCAT("CLOGNN66R25B474G")</f>
        <v>CLOGNN66R25B474G</v>
      </c>
      <c r="N132" s="5" t="s">
        <v>51</v>
      </c>
      <c r="O132" s="5" t="s">
        <v>157</v>
      </c>
      <c r="P132" s="6">
        <v>44166</v>
      </c>
      <c r="Q132" s="5" t="s">
        <v>30</v>
      </c>
      <c r="R132" s="5" t="s">
        <v>31</v>
      </c>
      <c r="S132" s="5" t="s">
        <v>32</v>
      </c>
      <c r="T132" s="5"/>
      <c r="U132" s="5">
        <v>259.8</v>
      </c>
      <c r="V132" s="5">
        <v>112.03</v>
      </c>
      <c r="W132" s="5">
        <v>103.45</v>
      </c>
      <c r="X132" s="5">
        <v>0</v>
      </c>
      <c r="Y132" s="5">
        <v>44.32</v>
      </c>
    </row>
    <row r="133" spans="1:25" x14ac:dyDescent="0.25">
      <c r="A133" s="5" t="s">
        <v>26</v>
      </c>
      <c r="B133" s="5" t="s">
        <v>37</v>
      </c>
      <c r="C133" s="5" t="s">
        <v>44</v>
      </c>
      <c r="D133" s="5" t="s">
        <v>49</v>
      </c>
      <c r="E133" s="5" t="s">
        <v>38</v>
      </c>
      <c r="F133" s="5" t="s">
        <v>136</v>
      </c>
      <c r="G133" s="5">
        <v>2019</v>
      </c>
      <c r="H133" s="5" t="str">
        <f>_xlfn.CONCAT("94240887128")</f>
        <v>94240887128</v>
      </c>
      <c r="I133" s="5" t="s">
        <v>28</v>
      </c>
      <c r="J133" s="5" t="s">
        <v>29</v>
      </c>
      <c r="K133" s="5" t="str">
        <f>_xlfn.CONCAT("")</f>
        <v/>
      </c>
      <c r="L133" s="5" t="str">
        <f>_xlfn.CONCAT("11 11.2 4b")</f>
        <v>11 11.2 4b</v>
      </c>
      <c r="M133" s="5" t="str">
        <f>_xlfn.CONCAT("MCCRNN56D07C582Q")</f>
        <v>MCCRNN56D07C582Q</v>
      </c>
      <c r="N133" s="5" t="s">
        <v>195</v>
      </c>
      <c r="O133" s="5" t="s">
        <v>157</v>
      </c>
      <c r="P133" s="6">
        <v>44166</v>
      </c>
      <c r="Q133" s="5" t="s">
        <v>30</v>
      </c>
      <c r="R133" s="5" t="s">
        <v>31</v>
      </c>
      <c r="S133" s="5" t="s">
        <v>32</v>
      </c>
      <c r="T133" s="5"/>
      <c r="U133" s="5">
        <v>304.24</v>
      </c>
      <c r="V133" s="5">
        <v>131.19</v>
      </c>
      <c r="W133" s="5">
        <v>121.15</v>
      </c>
      <c r="X133" s="5">
        <v>0</v>
      </c>
      <c r="Y133" s="5">
        <v>51.9</v>
      </c>
    </row>
    <row r="134" spans="1:25" x14ac:dyDescent="0.25">
      <c r="A134" s="5" t="s">
        <v>26</v>
      </c>
      <c r="B134" s="5" t="s">
        <v>37</v>
      </c>
      <c r="C134" s="5" t="s">
        <v>44</v>
      </c>
      <c r="D134" s="5" t="s">
        <v>49</v>
      </c>
      <c r="E134" s="5" t="s">
        <v>34</v>
      </c>
      <c r="F134" s="5" t="s">
        <v>113</v>
      </c>
      <c r="G134" s="5">
        <v>2017</v>
      </c>
      <c r="H134" s="5" t="str">
        <f>_xlfn.CONCAT("74240838396")</f>
        <v>74240838396</v>
      </c>
      <c r="I134" s="5" t="s">
        <v>28</v>
      </c>
      <c r="J134" s="5" t="s">
        <v>29</v>
      </c>
      <c r="K134" s="5" t="str">
        <f>_xlfn.CONCAT("")</f>
        <v/>
      </c>
      <c r="L134" s="5" t="str">
        <f>_xlfn.CONCAT("11 11.2 4b")</f>
        <v>11 11.2 4b</v>
      </c>
      <c r="M134" s="5" t="str">
        <f>_xlfn.CONCAT("PPVMRZ58M26I156B")</f>
        <v>PPVMRZ58M26I156B</v>
      </c>
      <c r="N134" s="5" t="s">
        <v>163</v>
      </c>
      <c r="O134" s="5" t="s">
        <v>157</v>
      </c>
      <c r="P134" s="6">
        <v>44166</v>
      </c>
      <c r="Q134" s="5" t="s">
        <v>30</v>
      </c>
      <c r="R134" s="5" t="s">
        <v>31</v>
      </c>
      <c r="S134" s="5" t="s">
        <v>32</v>
      </c>
      <c r="T134" s="5"/>
      <c r="U134" s="5">
        <v>35.94</v>
      </c>
      <c r="V134" s="5">
        <v>15.5</v>
      </c>
      <c r="W134" s="5">
        <v>14.31</v>
      </c>
      <c r="X134" s="5">
        <v>0</v>
      </c>
      <c r="Y134" s="5">
        <v>6.13</v>
      </c>
    </row>
    <row r="135" spans="1:25" x14ac:dyDescent="0.25">
      <c r="A135" s="5" t="s">
        <v>26</v>
      </c>
      <c r="B135" s="5" t="s">
        <v>37</v>
      </c>
      <c r="C135" s="5" t="s">
        <v>44</v>
      </c>
      <c r="D135" s="5" t="s">
        <v>49</v>
      </c>
      <c r="E135" s="5" t="s">
        <v>34</v>
      </c>
      <c r="F135" s="5" t="s">
        <v>113</v>
      </c>
      <c r="G135" s="5">
        <v>2018</v>
      </c>
      <c r="H135" s="5" t="str">
        <f>_xlfn.CONCAT("84240442859")</f>
        <v>84240442859</v>
      </c>
      <c r="I135" s="5" t="s">
        <v>28</v>
      </c>
      <c r="J135" s="5" t="s">
        <v>29</v>
      </c>
      <c r="K135" s="5" t="str">
        <f>_xlfn.CONCAT("")</f>
        <v/>
      </c>
      <c r="L135" s="5" t="str">
        <f>_xlfn.CONCAT("11 11.2 4b")</f>
        <v>11 11.2 4b</v>
      </c>
      <c r="M135" s="5" t="str">
        <f>_xlfn.CONCAT("01741900433")</f>
        <v>01741900433</v>
      </c>
      <c r="N135" s="5" t="s">
        <v>183</v>
      </c>
      <c r="O135" s="5" t="s">
        <v>157</v>
      </c>
      <c r="P135" s="6">
        <v>44166</v>
      </c>
      <c r="Q135" s="5" t="s">
        <v>30</v>
      </c>
      <c r="R135" s="5" t="s">
        <v>31</v>
      </c>
      <c r="S135" s="5" t="s">
        <v>32</v>
      </c>
      <c r="T135" s="5"/>
      <c r="U135" s="5">
        <v>829.31</v>
      </c>
      <c r="V135" s="5">
        <v>357.6</v>
      </c>
      <c r="W135" s="5">
        <v>330.23</v>
      </c>
      <c r="X135" s="5">
        <v>0</v>
      </c>
      <c r="Y135" s="5">
        <v>141.47999999999999</v>
      </c>
    </row>
    <row r="136" spans="1:25" x14ac:dyDescent="0.25">
      <c r="A136" s="5" t="s">
        <v>26</v>
      </c>
      <c r="B136" s="5" t="s">
        <v>37</v>
      </c>
      <c r="C136" s="5" t="s">
        <v>44</v>
      </c>
      <c r="D136" s="5" t="s">
        <v>49</v>
      </c>
      <c r="E136" s="5" t="s">
        <v>35</v>
      </c>
      <c r="F136" s="5" t="s">
        <v>53</v>
      </c>
      <c r="G136" s="5">
        <v>2017</v>
      </c>
      <c r="H136" s="5" t="str">
        <f>_xlfn.CONCAT("74240403399")</f>
        <v>74240403399</v>
      </c>
      <c r="I136" s="5" t="s">
        <v>28</v>
      </c>
      <c r="J136" s="5" t="s">
        <v>29</v>
      </c>
      <c r="K136" s="5" t="str">
        <f>_xlfn.CONCAT("")</f>
        <v/>
      </c>
      <c r="L136" s="5" t="str">
        <f>_xlfn.CONCAT("11 11.2 4b")</f>
        <v>11 11.2 4b</v>
      </c>
      <c r="M136" s="5" t="str">
        <f>_xlfn.CONCAT("SBBSLV77S69H211C")</f>
        <v>SBBSLV77S69H211C</v>
      </c>
      <c r="N136" s="5" t="s">
        <v>187</v>
      </c>
      <c r="O136" s="5" t="s">
        <v>157</v>
      </c>
      <c r="P136" s="6">
        <v>44166</v>
      </c>
      <c r="Q136" s="5" t="s">
        <v>30</v>
      </c>
      <c r="R136" s="5" t="s">
        <v>31</v>
      </c>
      <c r="S136" s="5" t="s">
        <v>32</v>
      </c>
      <c r="T136" s="5"/>
      <c r="U136" s="7">
        <v>2029.2</v>
      </c>
      <c r="V136" s="5">
        <v>874.99</v>
      </c>
      <c r="W136" s="5">
        <v>808.03</v>
      </c>
      <c r="X136" s="5">
        <v>0</v>
      </c>
      <c r="Y136" s="5">
        <v>346.18</v>
      </c>
    </row>
    <row r="137" spans="1:25" x14ac:dyDescent="0.25">
      <c r="A137" s="5" t="s">
        <v>26</v>
      </c>
      <c r="B137" s="5" t="s">
        <v>37</v>
      </c>
      <c r="C137" s="5" t="s">
        <v>44</v>
      </c>
      <c r="D137" s="5" t="s">
        <v>49</v>
      </c>
      <c r="E137" s="5" t="s">
        <v>34</v>
      </c>
      <c r="F137" s="5" t="s">
        <v>113</v>
      </c>
      <c r="G137" s="5">
        <v>2017</v>
      </c>
      <c r="H137" s="5" t="str">
        <f>_xlfn.CONCAT("74240052261")</f>
        <v>74240052261</v>
      </c>
      <c r="I137" s="5" t="s">
        <v>28</v>
      </c>
      <c r="J137" s="5" t="s">
        <v>29</v>
      </c>
      <c r="K137" s="5" t="str">
        <f>_xlfn.CONCAT("")</f>
        <v/>
      </c>
      <c r="L137" s="5" t="str">
        <f>_xlfn.CONCAT("11 11.1 4b")</f>
        <v>11 11.1 4b</v>
      </c>
      <c r="M137" s="5" t="str">
        <f>_xlfn.CONCAT("CHMMCR87C54B474F")</f>
        <v>CHMMCR87C54B474F</v>
      </c>
      <c r="N137" s="5" t="s">
        <v>191</v>
      </c>
      <c r="O137" s="5" t="s">
        <v>157</v>
      </c>
      <c r="P137" s="6">
        <v>44166</v>
      </c>
      <c r="Q137" s="5" t="s">
        <v>30</v>
      </c>
      <c r="R137" s="5" t="s">
        <v>31</v>
      </c>
      <c r="S137" s="5" t="s">
        <v>32</v>
      </c>
      <c r="T137" s="5"/>
      <c r="U137" s="5">
        <v>515.27</v>
      </c>
      <c r="V137" s="5">
        <v>222.18</v>
      </c>
      <c r="W137" s="5">
        <v>205.18</v>
      </c>
      <c r="X137" s="5">
        <v>0</v>
      </c>
      <c r="Y137" s="5">
        <v>87.91</v>
      </c>
    </row>
    <row r="138" spans="1:25" x14ac:dyDescent="0.25">
      <c r="A138" s="5" t="s">
        <v>26</v>
      </c>
      <c r="B138" s="5" t="s">
        <v>37</v>
      </c>
      <c r="C138" s="5" t="s">
        <v>44</v>
      </c>
      <c r="D138" s="5" t="s">
        <v>49</v>
      </c>
      <c r="E138" s="5" t="s">
        <v>33</v>
      </c>
      <c r="F138" s="5" t="s">
        <v>175</v>
      </c>
      <c r="G138" s="5">
        <v>2018</v>
      </c>
      <c r="H138" s="5" t="str">
        <f>_xlfn.CONCAT("84240382261")</f>
        <v>84240382261</v>
      </c>
      <c r="I138" s="5" t="s">
        <v>28</v>
      </c>
      <c r="J138" s="5" t="s">
        <v>29</v>
      </c>
      <c r="K138" s="5" t="str">
        <f>_xlfn.CONCAT("")</f>
        <v/>
      </c>
      <c r="L138" s="5" t="str">
        <f>_xlfn.CONCAT("11 11.2 4b")</f>
        <v>11 11.2 4b</v>
      </c>
      <c r="M138" s="5" t="str">
        <f>_xlfn.CONCAT("01745850436")</f>
        <v>01745850436</v>
      </c>
      <c r="N138" s="5" t="s">
        <v>196</v>
      </c>
      <c r="O138" s="5" t="s">
        <v>157</v>
      </c>
      <c r="P138" s="6">
        <v>44166</v>
      </c>
      <c r="Q138" s="5" t="s">
        <v>30</v>
      </c>
      <c r="R138" s="5" t="s">
        <v>31</v>
      </c>
      <c r="S138" s="5" t="s">
        <v>32</v>
      </c>
      <c r="T138" s="5"/>
      <c r="U138" s="5">
        <v>212.25</v>
      </c>
      <c r="V138" s="5">
        <v>91.52</v>
      </c>
      <c r="W138" s="5">
        <v>84.52</v>
      </c>
      <c r="X138" s="5">
        <v>0</v>
      </c>
      <c r="Y138" s="5">
        <v>36.21</v>
      </c>
    </row>
    <row r="139" spans="1:25" x14ac:dyDescent="0.25">
      <c r="A139" s="5" t="s">
        <v>26</v>
      </c>
      <c r="B139" s="5" t="s">
        <v>37</v>
      </c>
      <c r="C139" s="5" t="s">
        <v>44</v>
      </c>
      <c r="D139" s="5" t="s">
        <v>49</v>
      </c>
      <c r="E139" s="5" t="s">
        <v>35</v>
      </c>
      <c r="F139" s="5" t="s">
        <v>53</v>
      </c>
      <c r="G139" s="5">
        <v>2018</v>
      </c>
      <c r="H139" s="5" t="str">
        <f>_xlfn.CONCAT("84240715619")</f>
        <v>84240715619</v>
      </c>
      <c r="I139" s="5" t="s">
        <v>28</v>
      </c>
      <c r="J139" s="5" t="s">
        <v>29</v>
      </c>
      <c r="K139" s="5" t="str">
        <f>_xlfn.CONCAT("")</f>
        <v/>
      </c>
      <c r="L139" s="5" t="str">
        <f>_xlfn.CONCAT("11 11.2 4b")</f>
        <v>11 11.2 4b</v>
      </c>
      <c r="M139" s="5" t="str">
        <f>_xlfn.CONCAT("SBBSLV77S69H211C")</f>
        <v>SBBSLV77S69H211C</v>
      </c>
      <c r="N139" s="5" t="s">
        <v>187</v>
      </c>
      <c r="O139" s="5" t="s">
        <v>157</v>
      </c>
      <c r="P139" s="6">
        <v>44166</v>
      </c>
      <c r="Q139" s="5" t="s">
        <v>30</v>
      </c>
      <c r="R139" s="5" t="s">
        <v>31</v>
      </c>
      <c r="S139" s="5" t="s">
        <v>32</v>
      </c>
      <c r="T139" s="5"/>
      <c r="U139" s="7">
        <v>2029.2</v>
      </c>
      <c r="V139" s="5">
        <v>874.99</v>
      </c>
      <c r="W139" s="5">
        <v>808.03</v>
      </c>
      <c r="X139" s="5">
        <v>0</v>
      </c>
      <c r="Y139" s="5">
        <v>346.18</v>
      </c>
    </row>
    <row r="140" spans="1:25" x14ac:dyDescent="0.25">
      <c r="A140" s="5" t="s">
        <v>26</v>
      </c>
      <c r="B140" s="5" t="s">
        <v>37</v>
      </c>
      <c r="C140" s="5" t="s">
        <v>44</v>
      </c>
      <c r="D140" s="5" t="s">
        <v>49</v>
      </c>
      <c r="E140" s="5" t="s">
        <v>34</v>
      </c>
      <c r="F140" s="5" t="s">
        <v>75</v>
      </c>
      <c r="G140" s="5">
        <v>2019</v>
      </c>
      <c r="H140" s="5" t="str">
        <f>_xlfn.CONCAT("94240605116")</f>
        <v>94240605116</v>
      </c>
      <c r="I140" s="5" t="s">
        <v>28</v>
      </c>
      <c r="J140" s="5" t="s">
        <v>29</v>
      </c>
      <c r="K140" s="5" t="str">
        <f>_xlfn.CONCAT("")</f>
        <v/>
      </c>
      <c r="L140" s="5" t="str">
        <f>_xlfn.CONCAT("11 11.2 4b")</f>
        <v>11 11.2 4b</v>
      </c>
      <c r="M140" s="5" t="str">
        <f>_xlfn.CONCAT("NGLSMN77R29B474E")</f>
        <v>NGLSMN77R29B474E</v>
      </c>
      <c r="N140" s="5" t="s">
        <v>197</v>
      </c>
      <c r="O140" s="5" t="s">
        <v>157</v>
      </c>
      <c r="P140" s="6">
        <v>44166</v>
      </c>
      <c r="Q140" s="5" t="s">
        <v>30</v>
      </c>
      <c r="R140" s="5" t="s">
        <v>31</v>
      </c>
      <c r="S140" s="5" t="s">
        <v>32</v>
      </c>
      <c r="T140" s="5"/>
      <c r="U140" s="5">
        <v>537.76</v>
      </c>
      <c r="V140" s="5">
        <v>231.88</v>
      </c>
      <c r="W140" s="5">
        <v>214.14</v>
      </c>
      <c r="X140" s="5">
        <v>0</v>
      </c>
      <c r="Y140" s="5">
        <v>91.74</v>
      </c>
    </row>
    <row r="141" spans="1:25" x14ac:dyDescent="0.25">
      <c r="A141" s="5" t="s">
        <v>26</v>
      </c>
      <c r="B141" s="5" t="s">
        <v>37</v>
      </c>
      <c r="C141" s="5" t="s">
        <v>44</v>
      </c>
      <c r="D141" s="5" t="s">
        <v>49</v>
      </c>
      <c r="E141" s="5" t="s">
        <v>34</v>
      </c>
      <c r="F141" s="5" t="s">
        <v>113</v>
      </c>
      <c r="G141" s="5">
        <v>2018</v>
      </c>
      <c r="H141" s="5" t="str">
        <f>_xlfn.CONCAT("84240377303")</f>
        <v>84240377303</v>
      </c>
      <c r="I141" s="5" t="s">
        <v>28</v>
      </c>
      <c r="J141" s="5" t="s">
        <v>29</v>
      </c>
      <c r="K141" s="5" t="str">
        <f>_xlfn.CONCAT("")</f>
        <v/>
      </c>
      <c r="L141" s="5" t="str">
        <f>_xlfn.CONCAT("11 11.1 4b")</f>
        <v>11 11.1 4b</v>
      </c>
      <c r="M141" s="5" t="str">
        <f>_xlfn.CONCAT("BRNMNL96P15B474U")</f>
        <v>BRNMNL96P15B474U</v>
      </c>
      <c r="N141" s="5" t="s">
        <v>198</v>
      </c>
      <c r="O141" s="5" t="s">
        <v>157</v>
      </c>
      <c r="P141" s="6">
        <v>44166</v>
      </c>
      <c r="Q141" s="5" t="s">
        <v>30</v>
      </c>
      <c r="R141" s="5" t="s">
        <v>31</v>
      </c>
      <c r="S141" s="5" t="s">
        <v>32</v>
      </c>
      <c r="T141" s="5"/>
      <c r="U141" s="5">
        <v>434.11</v>
      </c>
      <c r="V141" s="5">
        <v>187.19</v>
      </c>
      <c r="W141" s="5">
        <v>172.86</v>
      </c>
      <c r="X141" s="5">
        <v>0</v>
      </c>
      <c r="Y141" s="5">
        <v>74.06</v>
      </c>
    </row>
    <row r="142" spans="1:25" x14ac:dyDescent="0.25">
      <c r="A142" s="5" t="s">
        <v>26</v>
      </c>
      <c r="B142" s="5" t="s">
        <v>37</v>
      </c>
      <c r="C142" s="5" t="s">
        <v>44</v>
      </c>
      <c r="D142" s="5" t="s">
        <v>49</v>
      </c>
      <c r="E142" s="5" t="s">
        <v>34</v>
      </c>
      <c r="F142" s="5" t="s">
        <v>113</v>
      </c>
      <c r="G142" s="5">
        <v>2019</v>
      </c>
      <c r="H142" s="5" t="str">
        <f>_xlfn.CONCAT("94240597537")</f>
        <v>94240597537</v>
      </c>
      <c r="I142" s="5" t="s">
        <v>28</v>
      </c>
      <c r="J142" s="5" t="s">
        <v>29</v>
      </c>
      <c r="K142" s="5" t="str">
        <f>_xlfn.CONCAT("")</f>
        <v/>
      </c>
      <c r="L142" s="5" t="str">
        <f>_xlfn.CONCAT("11 11.1 4b")</f>
        <v>11 11.1 4b</v>
      </c>
      <c r="M142" s="5" t="str">
        <f>_xlfn.CONCAT("BRNMNL96P15B474U")</f>
        <v>BRNMNL96P15B474U</v>
      </c>
      <c r="N142" s="5" t="s">
        <v>198</v>
      </c>
      <c r="O142" s="5" t="s">
        <v>157</v>
      </c>
      <c r="P142" s="6">
        <v>44166</v>
      </c>
      <c r="Q142" s="5" t="s">
        <v>30</v>
      </c>
      <c r="R142" s="5" t="s">
        <v>31</v>
      </c>
      <c r="S142" s="5" t="s">
        <v>32</v>
      </c>
      <c r="T142" s="5"/>
      <c r="U142" s="5">
        <v>377.65</v>
      </c>
      <c r="V142" s="5">
        <v>162.84</v>
      </c>
      <c r="W142" s="5">
        <v>150.38</v>
      </c>
      <c r="X142" s="5">
        <v>0</v>
      </c>
      <c r="Y142" s="5">
        <v>64.430000000000007</v>
      </c>
    </row>
    <row r="143" spans="1:25" x14ac:dyDescent="0.25">
      <c r="A143" s="5" t="s">
        <v>26</v>
      </c>
      <c r="B143" s="5" t="s">
        <v>37</v>
      </c>
      <c r="C143" s="5" t="s">
        <v>44</v>
      </c>
      <c r="D143" s="5" t="s">
        <v>49</v>
      </c>
      <c r="E143" s="5" t="s">
        <v>38</v>
      </c>
      <c r="F143" s="5" t="s">
        <v>136</v>
      </c>
      <c r="G143" s="5">
        <v>2019</v>
      </c>
      <c r="H143" s="5" t="str">
        <f>_xlfn.CONCAT("94240933401")</f>
        <v>94240933401</v>
      </c>
      <c r="I143" s="5" t="s">
        <v>28</v>
      </c>
      <c r="J143" s="5" t="s">
        <v>29</v>
      </c>
      <c r="K143" s="5" t="str">
        <f>_xlfn.CONCAT("")</f>
        <v/>
      </c>
      <c r="L143" s="5" t="str">
        <f>_xlfn.CONCAT("11 11.1 4b")</f>
        <v>11 11.1 4b</v>
      </c>
      <c r="M143" s="5" t="str">
        <f>_xlfn.CONCAT("MRVLRT59S27B474G")</f>
        <v>MRVLRT59S27B474G</v>
      </c>
      <c r="N143" s="5" t="s">
        <v>199</v>
      </c>
      <c r="O143" s="5" t="s">
        <v>157</v>
      </c>
      <c r="P143" s="6">
        <v>44166</v>
      </c>
      <c r="Q143" s="5" t="s">
        <v>30</v>
      </c>
      <c r="R143" s="5" t="s">
        <v>31</v>
      </c>
      <c r="S143" s="5" t="s">
        <v>32</v>
      </c>
      <c r="T143" s="5"/>
      <c r="U143" s="5">
        <v>435.57</v>
      </c>
      <c r="V143" s="5">
        <v>187.82</v>
      </c>
      <c r="W143" s="5">
        <v>173.44</v>
      </c>
      <c r="X143" s="5">
        <v>0</v>
      </c>
      <c r="Y143" s="5">
        <v>74.31</v>
      </c>
    </row>
    <row r="144" spans="1:25" x14ac:dyDescent="0.25">
      <c r="A144" s="5" t="s">
        <v>26</v>
      </c>
      <c r="B144" s="5" t="s">
        <v>37</v>
      </c>
      <c r="C144" s="5" t="s">
        <v>44</v>
      </c>
      <c r="D144" s="5" t="s">
        <v>49</v>
      </c>
      <c r="E144" s="5" t="s">
        <v>34</v>
      </c>
      <c r="F144" s="5" t="s">
        <v>113</v>
      </c>
      <c r="G144" s="5">
        <v>2019</v>
      </c>
      <c r="H144" s="5" t="str">
        <f>_xlfn.CONCAT("94240180508")</f>
        <v>94240180508</v>
      </c>
      <c r="I144" s="5" t="s">
        <v>28</v>
      </c>
      <c r="J144" s="5" t="s">
        <v>29</v>
      </c>
      <c r="K144" s="5" t="str">
        <f>_xlfn.CONCAT("")</f>
        <v/>
      </c>
      <c r="L144" s="5" t="str">
        <f>_xlfn.CONCAT("11 11.1 4b")</f>
        <v>11 11.1 4b</v>
      </c>
      <c r="M144" s="5" t="str">
        <f>_xlfn.CONCAT("GNTRCR97R22I156W")</f>
        <v>GNTRCR97R22I156W</v>
      </c>
      <c r="N144" s="5" t="s">
        <v>200</v>
      </c>
      <c r="O144" s="5" t="s">
        <v>157</v>
      </c>
      <c r="P144" s="6">
        <v>44166</v>
      </c>
      <c r="Q144" s="5" t="s">
        <v>30</v>
      </c>
      <c r="R144" s="5" t="s">
        <v>31</v>
      </c>
      <c r="S144" s="5" t="s">
        <v>32</v>
      </c>
      <c r="T144" s="5"/>
      <c r="U144" s="5">
        <v>81.040000000000006</v>
      </c>
      <c r="V144" s="5">
        <v>34.94</v>
      </c>
      <c r="W144" s="5">
        <v>32.270000000000003</v>
      </c>
      <c r="X144" s="5">
        <v>0</v>
      </c>
      <c r="Y144" s="5">
        <v>13.83</v>
      </c>
    </row>
    <row r="145" spans="1:25" ht="24.75" x14ac:dyDescent="0.25">
      <c r="A145" s="5" t="s">
        <v>26</v>
      </c>
      <c r="B145" s="5" t="s">
        <v>37</v>
      </c>
      <c r="C145" s="5" t="s">
        <v>44</v>
      </c>
      <c r="D145" s="5" t="s">
        <v>49</v>
      </c>
      <c r="E145" s="5" t="s">
        <v>34</v>
      </c>
      <c r="F145" s="5" t="s">
        <v>113</v>
      </c>
      <c r="G145" s="5">
        <v>2019</v>
      </c>
      <c r="H145" s="5" t="str">
        <f>_xlfn.CONCAT("94240674849")</f>
        <v>94240674849</v>
      </c>
      <c r="I145" s="5" t="s">
        <v>28</v>
      </c>
      <c r="J145" s="5" t="s">
        <v>29</v>
      </c>
      <c r="K145" s="5" t="str">
        <f>_xlfn.CONCAT("")</f>
        <v/>
      </c>
      <c r="L145" s="5" t="str">
        <f>_xlfn.CONCAT("11 11.2 4b")</f>
        <v>11 11.2 4b</v>
      </c>
      <c r="M145" s="5" t="str">
        <f>_xlfn.CONCAT("01990480434")</f>
        <v>01990480434</v>
      </c>
      <c r="N145" s="5" t="s">
        <v>201</v>
      </c>
      <c r="O145" s="5" t="s">
        <v>157</v>
      </c>
      <c r="P145" s="6">
        <v>44166</v>
      </c>
      <c r="Q145" s="5" t="s">
        <v>30</v>
      </c>
      <c r="R145" s="5" t="s">
        <v>31</v>
      </c>
      <c r="S145" s="5" t="s">
        <v>32</v>
      </c>
      <c r="T145" s="5"/>
      <c r="U145" s="5">
        <v>278.8</v>
      </c>
      <c r="V145" s="5">
        <v>120.22</v>
      </c>
      <c r="W145" s="5">
        <v>111.02</v>
      </c>
      <c r="X145" s="5">
        <v>0</v>
      </c>
      <c r="Y145" s="5">
        <v>47.56</v>
      </c>
    </row>
    <row r="146" spans="1:25" x14ac:dyDescent="0.25">
      <c r="A146" s="5" t="s">
        <v>26</v>
      </c>
      <c r="B146" s="5" t="s">
        <v>37</v>
      </c>
      <c r="C146" s="5" t="s">
        <v>44</v>
      </c>
      <c r="D146" s="5" t="s">
        <v>49</v>
      </c>
      <c r="E146" s="5" t="s">
        <v>38</v>
      </c>
      <c r="F146" s="5" t="s">
        <v>136</v>
      </c>
      <c r="G146" s="5">
        <v>2018</v>
      </c>
      <c r="H146" s="5" t="str">
        <f>_xlfn.CONCAT("84240893788")</f>
        <v>84240893788</v>
      </c>
      <c r="I146" s="5" t="s">
        <v>28</v>
      </c>
      <c r="J146" s="5" t="s">
        <v>29</v>
      </c>
      <c r="K146" s="5" t="str">
        <f>_xlfn.CONCAT("")</f>
        <v/>
      </c>
      <c r="L146" s="5" t="str">
        <f>_xlfn.CONCAT("11 11.1 4b")</f>
        <v>11 11.1 4b</v>
      </c>
      <c r="M146" s="5" t="str">
        <f>_xlfn.CONCAT("PRPSLL52P65E694A")</f>
        <v>PRPSLL52P65E694A</v>
      </c>
      <c r="N146" s="5" t="s">
        <v>202</v>
      </c>
      <c r="O146" s="5" t="s">
        <v>157</v>
      </c>
      <c r="P146" s="6">
        <v>44166</v>
      </c>
      <c r="Q146" s="5" t="s">
        <v>30</v>
      </c>
      <c r="R146" s="5" t="s">
        <v>31</v>
      </c>
      <c r="S146" s="5" t="s">
        <v>32</v>
      </c>
      <c r="T146" s="5"/>
      <c r="U146" s="5">
        <v>27.72</v>
      </c>
      <c r="V146" s="5">
        <v>11.95</v>
      </c>
      <c r="W146" s="5">
        <v>11.04</v>
      </c>
      <c r="X146" s="5">
        <v>0</v>
      </c>
      <c r="Y146" s="5">
        <v>4.7300000000000004</v>
      </c>
    </row>
    <row r="147" spans="1:25" x14ac:dyDescent="0.25">
      <c r="A147" s="5" t="s">
        <v>26</v>
      </c>
      <c r="B147" s="5" t="s">
        <v>37</v>
      </c>
      <c r="C147" s="5" t="s">
        <v>44</v>
      </c>
      <c r="D147" s="5" t="s">
        <v>49</v>
      </c>
      <c r="E147" s="5" t="s">
        <v>38</v>
      </c>
      <c r="F147" s="5" t="s">
        <v>136</v>
      </c>
      <c r="G147" s="5">
        <v>2019</v>
      </c>
      <c r="H147" s="5" t="str">
        <f>_xlfn.CONCAT("94240955685")</f>
        <v>94240955685</v>
      </c>
      <c r="I147" s="5" t="s">
        <v>28</v>
      </c>
      <c r="J147" s="5" t="s">
        <v>29</v>
      </c>
      <c r="K147" s="5" t="str">
        <f>_xlfn.CONCAT("")</f>
        <v/>
      </c>
      <c r="L147" s="5" t="str">
        <f>_xlfn.CONCAT("11 11.2 4b")</f>
        <v>11 11.2 4b</v>
      </c>
      <c r="M147" s="5" t="str">
        <f>_xlfn.CONCAT("PRPSLL52P65E694A")</f>
        <v>PRPSLL52P65E694A</v>
      </c>
      <c r="N147" s="5" t="s">
        <v>202</v>
      </c>
      <c r="O147" s="5" t="s">
        <v>157</v>
      </c>
      <c r="P147" s="6">
        <v>44166</v>
      </c>
      <c r="Q147" s="5" t="s">
        <v>30</v>
      </c>
      <c r="R147" s="5" t="s">
        <v>31</v>
      </c>
      <c r="S147" s="5" t="s">
        <v>32</v>
      </c>
      <c r="T147" s="5"/>
      <c r="U147" s="5">
        <v>422.59</v>
      </c>
      <c r="V147" s="5">
        <v>182.22</v>
      </c>
      <c r="W147" s="5">
        <v>168.28</v>
      </c>
      <c r="X147" s="5">
        <v>0</v>
      </c>
      <c r="Y147" s="5">
        <v>72.09</v>
      </c>
    </row>
    <row r="148" spans="1:25" x14ac:dyDescent="0.25">
      <c r="A148" s="5" t="s">
        <v>26</v>
      </c>
      <c r="B148" s="5" t="s">
        <v>37</v>
      </c>
      <c r="C148" s="5" t="s">
        <v>44</v>
      </c>
      <c r="D148" s="5" t="s">
        <v>49</v>
      </c>
      <c r="E148" s="5" t="s">
        <v>38</v>
      </c>
      <c r="F148" s="5" t="s">
        <v>136</v>
      </c>
      <c r="G148" s="5">
        <v>2019</v>
      </c>
      <c r="H148" s="5" t="str">
        <f>_xlfn.CONCAT("94240956063")</f>
        <v>94240956063</v>
      </c>
      <c r="I148" s="5" t="s">
        <v>28</v>
      </c>
      <c r="J148" s="5" t="s">
        <v>29</v>
      </c>
      <c r="K148" s="5" t="str">
        <f>_xlfn.CONCAT("")</f>
        <v/>
      </c>
      <c r="L148" s="5" t="str">
        <f>_xlfn.CONCAT("11 11.1 4b")</f>
        <v>11 11.1 4b</v>
      </c>
      <c r="M148" s="5" t="str">
        <f>_xlfn.CONCAT("PRPSLL52P65E694A")</f>
        <v>PRPSLL52P65E694A</v>
      </c>
      <c r="N148" s="5" t="s">
        <v>202</v>
      </c>
      <c r="O148" s="5" t="s">
        <v>157</v>
      </c>
      <c r="P148" s="6">
        <v>44166</v>
      </c>
      <c r="Q148" s="5" t="s">
        <v>30</v>
      </c>
      <c r="R148" s="5" t="s">
        <v>31</v>
      </c>
      <c r="S148" s="5" t="s">
        <v>32</v>
      </c>
      <c r="T148" s="5"/>
      <c r="U148" s="5">
        <v>27.72</v>
      </c>
      <c r="V148" s="5">
        <v>11.95</v>
      </c>
      <c r="W148" s="5">
        <v>11.04</v>
      </c>
      <c r="X148" s="5">
        <v>0</v>
      </c>
      <c r="Y148" s="5">
        <v>4.7300000000000004</v>
      </c>
    </row>
    <row r="149" spans="1:25" x14ac:dyDescent="0.25">
      <c r="A149" s="5" t="s">
        <v>26</v>
      </c>
      <c r="B149" s="5" t="s">
        <v>37</v>
      </c>
      <c r="C149" s="5" t="s">
        <v>44</v>
      </c>
      <c r="D149" s="5" t="s">
        <v>49</v>
      </c>
      <c r="E149" s="5" t="s">
        <v>41</v>
      </c>
      <c r="F149" s="5" t="s">
        <v>86</v>
      </c>
      <c r="G149" s="5">
        <v>2017</v>
      </c>
      <c r="H149" s="5" t="str">
        <f>_xlfn.CONCAT("74240372255")</f>
        <v>74240372255</v>
      </c>
      <c r="I149" s="5" t="s">
        <v>28</v>
      </c>
      <c r="J149" s="5" t="s">
        <v>29</v>
      </c>
      <c r="K149" s="5" t="str">
        <f>_xlfn.CONCAT("")</f>
        <v/>
      </c>
      <c r="L149" s="5" t="str">
        <f>_xlfn.CONCAT("11 11.2 4b")</f>
        <v>11 11.2 4b</v>
      </c>
      <c r="M149" s="5" t="str">
        <f>_xlfn.CONCAT("CLMPLG62P24F567B")</f>
        <v>CLMPLG62P24F567B</v>
      </c>
      <c r="N149" s="5" t="s">
        <v>203</v>
      </c>
      <c r="O149" s="5" t="s">
        <v>157</v>
      </c>
      <c r="P149" s="6">
        <v>44166</v>
      </c>
      <c r="Q149" s="5" t="s">
        <v>30</v>
      </c>
      <c r="R149" s="5" t="s">
        <v>31</v>
      </c>
      <c r="S149" s="5" t="s">
        <v>32</v>
      </c>
      <c r="T149" s="5"/>
      <c r="U149" s="5">
        <v>472.68</v>
      </c>
      <c r="V149" s="5">
        <v>203.82</v>
      </c>
      <c r="W149" s="5">
        <v>188.22</v>
      </c>
      <c r="X149" s="5">
        <v>0</v>
      </c>
      <c r="Y149" s="5">
        <v>80.64</v>
      </c>
    </row>
    <row r="150" spans="1:25" ht="24.75" x14ac:dyDescent="0.25">
      <c r="A150" s="5" t="s">
        <v>26</v>
      </c>
      <c r="B150" s="5" t="s">
        <v>37</v>
      </c>
      <c r="C150" s="5" t="s">
        <v>44</v>
      </c>
      <c r="D150" s="5" t="s">
        <v>49</v>
      </c>
      <c r="E150" s="5" t="s">
        <v>33</v>
      </c>
      <c r="F150" s="5" t="s">
        <v>204</v>
      </c>
      <c r="G150" s="5">
        <v>2019</v>
      </c>
      <c r="H150" s="5" t="str">
        <f>_xlfn.CONCAT("94240819790")</f>
        <v>94240819790</v>
      </c>
      <c r="I150" s="5" t="s">
        <v>28</v>
      </c>
      <c r="J150" s="5" t="s">
        <v>29</v>
      </c>
      <c r="K150" s="5" t="str">
        <f>_xlfn.CONCAT("")</f>
        <v/>
      </c>
      <c r="L150" s="5" t="str">
        <f>_xlfn.CONCAT("11 11.1 4b")</f>
        <v>11 11.1 4b</v>
      </c>
      <c r="M150" s="5" t="str">
        <f>_xlfn.CONCAT("02164470441")</f>
        <v>02164470441</v>
      </c>
      <c r="N150" s="5" t="s">
        <v>205</v>
      </c>
      <c r="O150" s="5" t="s">
        <v>157</v>
      </c>
      <c r="P150" s="6">
        <v>44166</v>
      </c>
      <c r="Q150" s="5" t="s">
        <v>30</v>
      </c>
      <c r="R150" s="5" t="s">
        <v>31</v>
      </c>
      <c r="S150" s="5" t="s">
        <v>32</v>
      </c>
      <c r="T150" s="5"/>
      <c r="U150" s="7">
        <v>3033.56</v>
      </c>
      <c r="V150" s="7">
        <v>1308.07</v>
      </c>
      <c r="W150" s="7">
        <v>1207.96</v>
      </c>
      <c r="X150" s="5">
        <v>0</v>
      </c>
      <c r="Y150" s="5">
        <v>517.53</v>
      </c>
    </row>
    <row r="151" spans="1:25" x14ac:dyDescent="0.25">
      <c r="A151" s="5" t="s">
        <v>26</v>
      </c>
      <c r="B151" s="5" t="s">
        <v>37</v>
      </c>
      <c r="C151" s="5" t="s">
        <v>44</v>
      </c>
      <c r="D151" s="5" t="s">
        <v>49</v>
      </c>
      <c r="E151" s="5" t="s">
        <v>33</v>
      </c>
      <c r="F151" s="5" t="s">
        <v>164</v>
      </c>
      <c r="G151" s="5">
        <v>2019</v>
      </c>
      <c r="H151" s="5" t="str">
        <f>_xlfn.CONCAT("94240715410")</f>
        <v>94240715410</v>
      </c>
      <c r="I151" s="5" t="s">
        <v>28</v>
      </c>
      <c r="J151" s="5" t="s">
        <v>29</v>
      </c>
      <c r="K151" s="5" t="str">
        <f>_xlfn.CONCAT("")</f>
        <v/>
      </c>
      <c r="L151" s="5" t="str">
        <f>_xlfn.CONCAT("11 11.2 4b")</f>
        <v>11 11.2 4b</v>
      </c>
      <c r="M151" s="5" t="str">
        <f>_xlfn.CONCAT("NPENDR75D28I156D")</f>
        <v>NPENDR75D28I156D</v>
      </c>
      <c r="N151" s="5" t="s">
        <v>206</v>
      </c>
      <c r="O151" s="5" t="s">
        <v>157</v>
      </c>
      <c r="P151" s="6">
        <v>44166</v>
      </c>
      <c r="Q151" s="5" t="s">
        <v>30</v>
      </c>
      <c r="R151" s="5" t="s">
        <v>31</v>
      </c>
      <c r="S151" s="5" t="s">
        <v>32</v>
      </c>
      <c r="T151" s="5"/>
      <c r="U151" s="5">
        <v>707.38</v>
      </c>
      <c r="V151" s="5">
        <v>305.02</v>
      </c>
      <c r="W151" s="5">
        <v>281.68</v>
      </c>
      <c r="X151" s="5">
        <v>0</v>
      </c>
      <c r="Y151" s="5">
        <v>120.68</v>
      </c>
    </row>
    <row r="152" spans="1:25" x14ac:dyDescent="0.25">
      <c r="A152" s="5" t="s">
        <v>26</v>
      </c>
      <c r="B152" s="5" t="s">
        <v>37</v>
      </c>
      <c r="C152" s="5" t="s">
        <v>44</v>
      </c>
      <c r="D152" s="5" t="s">
        <v>49</v>
      </c>
      <c r="E152" s="5" t="s">
        <v>34</v>
      </c>
      <c r="F152" s="5" t="s">
        <v>113</v>
      </c>
      <c r="G152" s="5">
        <v>2018</v>
      </c>
      <c r="H152" s="5" t="str">
        <f>_xlfn.CONCAT("84240387617")</f>
        <v>84240387617</v>
      </c>
      <c r="I152" s="5" t="s">
        <v>28</v>
      </c>
      <c r="J152" s="5" t="s">
        <v>29</v>
      </c>
      <c r="K152" s="5" t="str">
        <f>_xlfn.CONCAT("")</f>
        <v/>
      </c>
      <c r="L152" s="5" t="str">
        <f>_xlfn.CONCAT("11 11.2 4b")</f>
        <v>11 11.2 4b</v>
      </c>
      <c r="M152" s="5" t="str">
        <f>_xlfn.CONCAT("VLRLNI75B15B474A")</f>
        <v>VLRLNI75B15B474A</v>
      </c>
      <c r="N152" s="5" t="s">
        <v>207</v>
      </c>
      <c r="O152" s="5" t="s">
        <v>157</v>
      </c>
      <c r="P152" s="6">
        <v>44166</v>
      </c>
      <c r="Q152" s="5" t="s">
        <v>30</v>
      </c>
      <c r="R152" s="5" t="s">
        <v>31</v>
      </c>
      <c r="S152" s="5" t="s">
        <v>32</v>
      </c>
      <c r="T152" s="5"/>
      <c r="U152" s="7">
        <v>1051.07</v>
      </c>
      <c r="V152" s="5">
        <v>453.22</v>
      </c>
      <c r="W152" s="5">
        <v>418.54</v>
      </c>
      <c r="X152" s="5">
        <v>0</v>
      </c>
      <c r="Y152" s="5">
        <v>179.31</v>
      </c>
    </row>
    <row r="153" spans="1:25" x14ac:dyDescent="0.25">
      <c r="A153" s="5" t="s">
        <v>26</v>
      </c>
      <c r="B153" s="5" t="s">
        <v>37</v>
      </c>
      <c r="C153" s="5" t="s">
        <v>44</v>
      </c>
      <c r="D153" s="5" t="s">
        <v>49</v>
      </c>
      <c r="E153" s="5" t="s">
        <v>34</v>
      </c>
      <c r="F153" s="5" t="s">
        <v>113</v>
      </c>
      <c r="G153" s="5">
        <v>2018</v>
      </c>
      <c r="H153" s="5" t="str">
        <f>_xlfn.CONCAT("84240402440")</f>
        <v>84240402440</v>
      </c>
      <c r="I153" s="5" t="s">
        <v>28</v>
      </c>
      <c r="J153" s="5" t="s">
        <v>29</v>
      </c>
      <c r="K153" s="5" t="str">
        <f>_xlfn.CONCAT("")</f>
        <v/>
      </c>
      <c r="L153" s="5" t="str">
        <f>_xlfn.CONCAT("11 11.2 4b")</f>
        <v>11 11.2 4b</v>
      </c>
      <c r="M153" s="5" t="str">
        <f>_xlfn.CONCAT("STRPLA73L17B474W")</f>
        <v>STRPLA73L17B474W</v>
      </c>
      <c r="N153" s="5" t="s">
        <v>208</v>
      </c>
      <c r="O153" s="5" t="s">
        <v>157</v>
      </c>
      <c r="P153" s="6">
        <v>44166</v>
      </c>
      <c r="Q153" s="5" t="s">
        <v>30</v>
      </c>
      <c r="R153" s="5" t="s">
        <v>31</v>
      </c>
      <c r="S153" s="5" t="s">
        <v>32</v>
      </c>
      <c r="T153" s="5"/>
      <c r="U153" s="5">
        <v>62.16</v>
      </c>
      <c r="V153" s="5">
        <v>26.8</v>
      </c>
      <c r="W153" s="5">
        <v>24.75</v>
      </c>
      <c r="X153" s="5">
        <v>0</v>
      </c>
      <c r="Y153" s="5">
        <v>10.61</v>
      </c>
    </row>
    <row r="154" spans="1:25" x14ac:dyDescent="0.25">
      <c r="A154" s="5" t="s">
        <v>26</v>
      </c>
      <c r="B154" s="5" t="s">
        <v>37</v>
      </c>
      <c r="C154" s="5" t="s">
        <v>44</v>
      </c>
      <c r="D154" s="5" t="s">
        <v>49</v>
      </c>
      <c r="E154" s="5" t="s">
        <v>41</v>
      </c>
      <c r="F154" s="5" t="s">
        <v>209</v>
      </c>
      <c r="G154" s="5">
        <v>2017</v>
      </c>
      <c r="H154" s="5" t="str">
        <f>_xlfn.CONCAT("74240581111")</f>
        <v>74240581111</v>
      </c>
      <c r="I154" s="5" t="s">
        <v>28</v>
      </c>
      <c r="J154" s="5" t="s">
        <v>29</v>
      </c>
      <c r="K154" s="5" t="str">
        <f>_xlfn.CONCAT("")</f>
        <v/>
      </c>
      <c r="L154" s="5" t="str">
        <f>_xlfn.CONCAT("11 11.1 4b")</f>
        <v>11 11.1 4b</v>
      </c>
      <c r="M154" s="5" t="str">
        <f>_xlfn.CONCAT("RPNMLM97T05D451N")</f>
        <v>RPNMLM97T05D451N</v>
      </c>
      <c r="N154" s="5" t="s">
        <v>210</v>
      </c>
      <c r="O154" s="5" t="s">
        <v>157</v>
      </c>
      <c r="P154" s="6">
        <v>44166</v>
      </c>
      <c r="Q154" s="5" t="s">
        <v>30</v>
      </c>
      <c r="R154" s="5" t="s">
        <v>31</v>
      </c>
      <c r="S154" s="5" t="s">
        <v>32</v>
      </c>
      <c r="T154" s="5"/>
      <c r="U154" s="5">
        <v>362.03</v>
      </c>
      <c r="V154" s="5">
        <v>156.11000000000001</v>
      </c>
      <c r="W154" s="5">
        <v>144.16</v>
      </c>
      <c r="X154" s="5">
        <v>0</v>
      </c>
      <c r="Y154" s="5">
        <v>61.76</v>
      </c>
    </row>
    <row r="155" spans="1:25" x14ac:dyDescent="0.25">
      <c r="A155" s="5" t="s">
        <v>26</v>
      </c>
      <c r="B155" s="5" t="s">
        <v>37</v>
      </c>
      <c r="C155" s="5" t="s">
        <v>44</v>
      </c>
      <c r="D155" s="5" t="s">
        <v>49</v>
      </c>
      <c r="E155" s="5" t="s">
        <v>34</v>
      </c>
      <c r="F155" s="5" t="s">
        <v>79</v>
      </c>
      <c r="G155" s="5">
        <v>2019</v>
      </c>
      <c r="H155" s="5" t="str">
        <f>_xlfn.CONCAT("94240728264")</f>
        <v>94240728264</v>
      </c>
      <c r="I155" s="5" t="s">
        <v>28</v>
      </c>
      <c r="J155" s="5" t="s">
        <v>29</v>
      </c>
      <c r="K155" s="5" t="str">
        <f>_xlfn.CONCAT("")</f>
        <v/>
      </c>
      <c r="L155" s="5" t="str">
        <f>_xlfn.CONCAT("11 11.2 4b")</f>
        <v>11 11.2 4b</v>
      </c>
      <c r="M155" s="5" t="str">
        <f>_xlfn.CONCAT("MRCNNA44H51I436N")</f>
        <v>MRCNNA44H51I436N</v>
      </c>
      <c r="N155" s="5" t="s">
        <v>211</v>
      </c>
      <c r="O155" s="5" t="s">
        <v>157</v>
      </c>
      <c r="P155" s="6">
        <v>44166</v>
      </c>
      <c r="Q155" s="5" t="s">
        <v>30</v>
      </c>
      <c r="R155" s="5" t="s">
        <v>31</v>
      </c>
      <c r="S155" s="5" t="s">
        <v>32</v>
      </c>
      <c r="T155" s="5"/>
      <c r="U155" s="7">
        <v>2197.17</v>
      </c>
      <c r="V155" s="5">
        <v>947.42</v>
      </c>
      <c r="W155" s="5">
        <v>874.91</v>
      </c>
      <c r="X155" s="5">
        <v>0</v>
      </c>
      <c r="Y155" s="5">
        <v>374.84</v>
      </c>
    </row>
    <row r="156" spans="1:25" x14ac:dyDescent="0.25">
      <c r="A156" s="5" t="s">
        <v>26</v>
      </c>
      <c r="B156" s="5" t="s">
        <v>37</v>
      </c>
      <c r="C156" s="5" t="s">
        <v>44</v>
      </c>
      <c r="D156" s="5" t="s">
        <v>49</v>
      </c>
      <c r="E156" s="5" t="s">
        <v>34</v>
      </c>
      <c r="F156" s="5" t="s">
        <v>75</v>
      </c>
      <c r="G156" s="5">
        <v>2019</v>
      </c>
      <c r="H156" s="5" t="str">
        <f>_xlfn.CONCAT("94240192610")</f>
        <v>94240192610</v>
      </c>
      <c r="I156" s="5" t="s">
        <v>28</v>
      </c>
      <c r="J156" s="5" t="s">
        <v>29</v>
      </c>
      <c r="K156" s="5" t="str">
        <f>_xlfn.CONCAT("")</f>
        <v/>
      </c>
      <c r="L156" s="5" t="str">
        <f>_xlfn.CONCAT("11 11.2 4b")</f>
        <v>11 11.2 4b</v>
      </c>
      <c r="M156" s="5" t="str">
        <f>_xlfn.CONCAT("RMDMRA66M03L501N")</f>
        <v>RMDMRA66M03L501N</v>
      </c>
      <c r="N156" s="5" t="s">
        <v>212</v>
      </c>
      <c r="O156" s="5" t="s">
        <v>157</v>
      </c>
      <c r="P156" s="6">
        <v>44166</v>
      </c>
      <c r="Q156" s="5" t="s">
        <v>30</v>
      </c>
      <c r="R156" s="5" t="s">
        <v>31</v>
      </c>
      <c r="S156" s="5" t="s">
        <v>32</v>
      </c>
      <c r="T156" s="5"/>
      <c r="U156" s="5">
        <v>81.099999999999994</v>
      </c>
      <c r="V156" s="5">
        <v>34.97</v>
      </c>
      <c r="W156" s="5">
        <v>32.29</v>
      </c>
      <c r="X156" s="5">
        <v>0</v>
      </c>
      <c r="Y156" s="5">
        <v>13.84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2020-12-11T09:28:33Z</dcterms:created>
  <dcterms:modified xsi:type="dcterms:W3CDTF">2020-12-11T09:29:13Z</dcterms:modified>
</cp:coreProperties>
</file>