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389\"/>
    </mc:Choice>
  </mc:AlternateContent>
  <xr:revisionPtr revIDLastSave="0" documentId="8_{F1F3352D-BAF4-4502-8DDD-A357939D036F}" xr6:coauthVersionLast="45" xr6:coauthVersionMax="45" xr10:uidLastSave="{00000000-0000-0000-0000-000000000000}"/>
  <bookViews>
    <workbookView xWindow="-120" yWindow="-120" windowWidth="20730" windowHeight="11160" xr2:uid="{AB9C4BE6-01B7-4E47-8818-BB48A455F328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2" i="1" l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<sst xmlns="http://schemas.openxmlformats.org/spreadsheetml/2006/main" count="1313" uniqueCount="183">
  <si>
    <t>Dettaglio Domande Pagabili Decreto 389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</si>
  <si>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</si>
  <si>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</si>
  <si>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</si>
  <si>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</si>
  <si>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</si>
  <si>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</si>
  <si>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</si>
  <si>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</si>
  <si>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</si>
  <si>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</si>
  <si>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</si>
  <si>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</si>
  <si>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</si>
  <si>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</si>
  <si>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</si>
  <si>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</si>
  <si>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</si>
  <si>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</si>
  <si>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</si>
  <si>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</si>
  <si>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</si>
  <si>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</si>
  <si>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</si>
  <si>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</si>
  <si>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</si>
  <si>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</si>
  <si>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</si>
  <si>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CAA Coldiretti srl</t>
  </si>
  <si>
    <t>NO</t>
  </si>
  <si>
    <t>In Liquidazione</t>
  </si>
  <si>
    <t>Saldo</t>
  </si>
  <si>
    <t>Co-Finanziato</t>
  </si>
  <si>
    <t>CAA CIA srl</t>
  </si>
  <si>
    <t>SI</t>
  </si>
  <si>
    <t>Nuova Programmazione</t>
  </si>
  <si>
    <t>CAA Confagricoltura srl</t>
  </si>
  <si>
    <t>CAA UNSIC s.r.l.</t>
  </si>
  <si>
    <t>CAA UNICAA srl</t>
  </si>
  <si>
    <t>CAA-CAF AGRI S.R.L.</t>
  </si>
  <si>
    <t>CAA LiberiAgricoltori srl già CAA AGCI srl</t>
  </si>
  <si>
    <t>CAA AGRISERVIZI s.r.l.</t>
  </si>
  <si>
    <t>Misure Strutturali</t>
  </si>
  <si>
    <t>SAL</t>
  </si>
  <si>
    <t>IN PROPRIO</t>
  </si>
  <si>
    <t>MARCHE</t>
  </si>
  <si>
    <t>SERV. DEC. AGRICOLTURA E ALIM. - MACERATA</t>
  </si>
  <si>
    <t>CAA Coldiretti - MACERATA - 017</t>
  </si>
  <si>
    <t>CORRADINI LUIGI</t>
  </si>
  <si>
    <t>AGEA.ASR.2020.0966389</t>
  </si>
  <si>
    <t>CAA LiberiAgricoltori - MACERATA - 002</t>
  </si>
  <si>
    <t>SCARDALA MARIA</t>
  </si>
  <si>
    <t>SERV. DEC. AGRICOLTURA E ALIM. -ASCOLI PICENO</t>
  </si>
  <si>
    <t>CAA CIA - ASCOLI PICENO - 006</t>
  </si>
  <si>
    <t>KINDERMANN HELMUT FELIX</t>
  </si>
  <si>
    <t>SERVILI ANDREA</t>
  </si>
  <si>
    <t>AGEA.ASR.2020.0967225</t>
  </si>
  <si>
    <t>CAA Coldiretti - FERMO - 001</t>
  </si>
  <si>
    <t>GHIMIS DUMITRESCU MIRELA</t>
  </si>
  <si>
    <t>AGEA.ASR.2020.0966375</t>
  </si>
  <si>
    <t>CAA Coldiretti - ASCOLI PICENO - 015</t>
  </si>
  <si>
    <t>MAZZONI PAOLO</t>
  </si>
  <si>
    <t>SERV. DEC. AGRICOLTURA E ALIMENTAZIONE - ANCONA</t>
  </si>
  <si>
    <t>CAA CIA - ANCONA - 002</t>
  </si>
  <si>
    <t>GOBBI LORETTA</t>
  </si>
  <si>
    <t>CAA Confagricoltura - ASCOLI PICENO - 001</t>
  </si>
  <si>
    <t>AGRIPOMPEI SOC. AGRICOLA S.S.</t>
  </si>
  <si>
    <t>CAA CIA - ASCOLI PICENO - 001</t>
  </si>
  <si>
    <t>EGIDI SERGIO</t>
  </si>
  <si>
    <t>CAA UNSIC - ASCOLI PICENO - 001</t>
  </si>
  <si>
    <t>GASPERI SANDRA</t>
  </si>
  <si>
    <t>CAA Coldiretti - ASCOLI PICENO - 025</t>
  </si>
  <si>
    <t>MAZZONI GIANNI</t>
  </si>
  <si>
    <t>SERV. DEC. AGRICOLTURA E ALIMENTAZIONE - PESARO</t>
  </si>
  <si>
    <t>CAA Coldiretti - PESARO E URBINO - 008</t>
  </si>
  <si>
    <t>BARTOLUCCI DANIELE</t>
  </si>
  <si>
    <t>CAA CIA - PESARO E URBINO - 002</t>
  </si>
  <si>
    <t>PIERIGE' ALAIN</t>
  </si>
  <si>
    <t>CAA Coldiretti - PESARO E URBINO - 010</t>
  </si>
  <si>
    <t>GUERRA MASSIMO</t>
  </si>
  <si>
    <t>CAA Coldiretti - MACERATA - 002</t>
  </si>
  <si>
    <t>CLEMENTI CRISTIAN</t>
  </si>
  <si>
    <t>CAA CIA - PESARO E URBINO - 005</t>
  </si>
  <si>
    <t>LOMBARDI EDDY</t>
  </si>
  <si>
    <t>CAA CIA - PESARO E URBINO - 003</t>
  </si>
  <si>
    <t>RAFFEINER MARIA HELENE</t>
  </si>
  <si>
    <t>CAA LiberiAgricoltori - PESARO E URBINO - 002</t>
  </si>
  <si>
    <t>PICCARI MASSIMILIANO</t>
  </si>
  <si>
    <t>CAA CAF AGRI - PESARO E URBINO - 221</t>
  </si>
  <si>
    <t>SOCIETA' AGRICOLA CIGNANO SOCIETA' SEMPLICE</t>
  </si>
  <si>
    <t>TRAINI GRAZIELLA</t>
  </si>
  <si>
    <t>CAA Coldiretti - ASCOLI PICENO - 010</t>
  </si>
  <si>
    <t>MADONINI VALERIA MARIA ALESSANDRA</t>
  </si>
  <si>
    <t>CAA UNICAA - ASCOLI PICENO - 004</t>
  </si>
  <si>
    <t>"OLIVE GREGORI" SOCIETA' AGRICOLA SEMPLICE</t>
  </si>
  <si>
    <t>CASE ROSSE SOCIETA' COOPERATIVA AGRICOLA A RESPONSABILITA' LIMITATA IN</t>
  </si>
  <si>
    <t>CAA AGRISERVIZI - LATINA - 001</t>
  </si>
  <si>
    <t>CROCI ISOLINA</t>
  </si>
  <si>
    <t>COCCI CRISTIANO</t>
  </si>
  <si>
    <t>CAA UNICAA - ASCOLI PICENO - 003</t>
  </si>
  <si>
    <t>SPONZA SILVIA</t>
  </si>
  <si>
    <t>FICERAI ELIGIO</t>
  </si>
  <si>
    <t>CAA Coldiretti - ANCONA - 002</t>
  </si>
  <si>
    <t>ISTITUTO DI ISTRUZIONE SUPERIORE MOREA VIVARELLI</t>
  </si>
  <si>
    <t>GEMINIANI LETIZIA</t>
  </si>
  <si>
    <t>CAA Coldiretti - PESARO E URBINO - 001</t>
  </si>
  <si>
    <t>TAGNANI DANIELE</t>
  </si>
  <si>
    <t>STORTINI DAVIDE</t>
  </si>
  <si>
    <t>CAA LiberiAgricoltori - PESARO E URBINO - 001</t>
  </si>
  <si>
    <t>SALTARELLI MARCELLO</t>
  </si>
  <si>
    <t>CAA Coldiretti - PESARO E URBINO - 004</t>
  </si>
  <si>
    <t>SOCIETA' AGRICOLA TERRA E SAPORI DI BALDACCIONI ROMINA E RAIMONDO S.S.</t>
  </si>
  <si>
    <t>AZ.AGR.SANNA E MONI</t>
  </si>
  <si>
    <t>AZIENDA AGRICOLA PASSERI FRANCO, FABIO E FRANCESCA SOCIETA' SEMPLICE A</t>
  </si>
  <si>
    <t>AMBROGI ALBA</t>
  </si>
  <si>
    <t>FERRI ALESSANDRO E DAMIANI ANNA SOCIETA' SEMPLICE</t>
  </si>
  <si>
    <t>GRILLO PAOLA</t>
  </si>
  <si>
    <t>CAA CIA - PESARO E URBINO - 008</t>
  </si>
  <si>
    <t>GROSSI RINO</t>
  </si>
  <si>
    <t>CAA Coldiretti - PESARO E URBINO - 006</t>
  </si>
  <si>
    <t>SARTINI EMANUELA</t>
  </si>
  <si>
    <t>SOCIETA' AGRICOLA F.LLI FOGLIETTA S.S.</t>
  </si>
  <si>
    <t>SOCIETA' AGRICOLA MAURI DOMENICO E C. S.S.</t>
  </si>
  <si>
    <t>SOCIETA' AGRICOLA BARTOLUCCI S.S.</t>
  </si>
  <si>
    <t>TABACCHI ANTONELLA</t>
  </si>
  <si>
    <t>ZILIOTTO ROSALIA</t>
  </si>
  <si>
    <t>SOCIETA' AGRICOLA MINUTELLI S.S. DI BARBIERI MASSIMO &amp; C.</t>
  </si>
  <si>
    <t>CAPONI MAURIZIO</t>
  </si>
  <si>
    <t>AZ.AG.SOTGIA E CADONI S.S.</t>
  </si>
  <si>
    <t>CAA LiberiAgricoltori - MACERATA - 001</t>
  </si>
  <si>
    <t>BATASSA ADALBERTO</t>
  </si>
  <si>
    <t>ENTE REGIONE MARCHE</t>
  </si>
  <si>
    <t>AGEA.ASR.2020.0950929</t>
  </si>
  <si>
    <t>SOC.AGR. F.LLI SANTI S.S.</t>
  </si>
  <si>
    <t>CAA CIA - ASCOLI PICENO - 002</t>
  </si>
  <si>
    <t>LA TENUTA DI MATTIA SOCIETA' SEMPLICE AGROFORESTALE DI FORMENTINI IVAN</t>
  </si>
  <si>
    <t>VAGNONI LILIANA</t>
  </si>
  <si>
    <t>GUERRA ANDREA</t>
  </si>
  <si>
    <t>FRANCIA DANIELE</t>
  </si>
  <si>
    <t>MORLACCA ERRI</t>
  </si>
  <si>
    <t>BELLAGAMBA FILIPPO</t>
  </si>
  <si>
    <t>3 A AZIENDE AGRICOLE ASSOCIATE SCARL</t>
  </si>
  <si>
    <t>PIANTONI GABRIELE</t>
  </si>
  <si>
    <t>SOCIETA' AGRICOLA POGGIOVERDE S.S.</t>
  </si>
  <si>
    <t>CAA Coldiretti - PESARO E URBINO - 007</t>
  </si>
  <si>
    <t>BERTOZZI FERNANDO</t>
  </si>
  <si>
    <t>CAA LiberiAgricoltori - MACERATA - 005</t>
  </si>
  <si>
    <t>LAPPONI BARBARA</t>
  </si>
  <si>
    <t>CAA CIA - PESARO E URBINO - 001</t>
  </si>
  <si>
    <t>HINTEREGGER FRIEDRICH</t>
  </si>
  <si>
    <t>CAA Coldiretti - PESARO E URBINO - 013</t>
  </si>
  <si>
    <t>GIROLOMONI GIOVANNI-BATTISTA</t>
  </si>
  <si>
    <t>CAA CIA - MACERATA - 001</t>
  </si>
  <si>
    <t>SOCIETA'AGRICOLA FLORIS SEBASTIANO E ANTONIO GIUSEPPE S.S.</t>
  </si>
  <si>
    <t>PIERMATTEI JURI</t>
  </si>
  <si>
    <t>SOCIETA'AGRICOLA FEDUZI GIANCARLO &amp; C SS</t>
  </si>
  <si>
    <t>CAA LiberiAgricoltori - MACERATA - 004</t>
  </si>
  <si>
    <t>ROSSI VALENTINA</t>
  </si>
  <si>
    <t>ABDERHALDEN URS</t>
  </si>
  <si>
    <t>CECCHINI FRANCO</t>
  </si>
  <si>
    <t>SOCIETA' AGRICOLA MASCIANO S.S.</t>
  </si>
  <si>
    <t>SOCIETA' AGRICOLA GRANDONI MAURIZIO E C. S.S.</t>
  </si>
  <si>
    <t>CAA Coldiretti - MACERATA - 008</t>
  </si>
  <si>
    <t>CAMBERTONI DENISE</t>
  </si>
  <si>
    <t>MENCARINI ALBINO</t>
  </si>
  <si>
    <t>SOCIETA' AGRICOLA AZIENDE BIOLOGICHE RIUNITE MARCHE S.S.</t>
  </si>
  <si>
    <t>CAA CIA - ASCOLI PICENO - 004</t>
  </si>
  <si>
    <t>DE BELLIS ENNIA</t>
  </si>
  <si>
    <t>BOTTICELLI EMILIO</t>
  </si>
  <si>
    <t>SOCIETA' AGRICOLA S. GIUSEPPE S.S.</t>
  </si>
  <si>
    <t>FEDELI SIMONE</t>
  </si>
  <si>
    <t>ALESSANDRELLI STEFANO</t>
  </si>
  <si>
    <t>AGEA.ASR.2020.0968681</t>
  </si>
  <si>
    <t>PALANCA ANGELO</t>
  </si>
  <si>
    <t>AGEA.ASR.2020.0967244</t>
  </si>
  <si>
    <t>MARCA FERMANA</t>
  </si>
  <si>
    <t>AGEA.ASR.2020.0968615</t>
  </si>
  <si>
    <t>AGEA.ASR.2020.0968672</t>
  </si>
  <si>
    <t>PAOLINA SOCIETA' AGRICOLA SEMPLICE DEI FRATELLI CAMACCI</t>
  </si>
  <si>
    <t>AGEA.ASR.2020.0967298</t>
  </si>
  <si>
    <t>SISTI ALESSIO</t>
  </si>
  <si>
    <t>BALDONI ANDREA</t>
  </si>
  <si>
    <t>AGEA.ASR.2020.0946247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</si>
</sst>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E5637-5F12-4591-8B39-971E75008EC2}">
  <dimension ref="A1:Y102"/>
  <sheetViews>
    <sheetView showGridLines="0" tabSelected="1" workbookViewId="0">
      <selection activeCell="E109" sqref="E109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8.42578125" bestFit="1" customWidth="1"/>
    <col min="4" max="4" width="36.5703125" bestFit="1" customWidth="1"/>
    <col min="5" max="5" width="32.42578125" bestFit="1" customWidth="1"/>
    <col min="6" max="6" width="36.4257812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2" width="17" bestFit="1" customWidth="1"/>
    <col min="13" max="13" width="16.85546875" bestFit="1" customWidth="1"/>
    <col min="14" max="14" width="36.5703125" bestFit="1" customWidth="1"/>
    <col min="15" max="15" width="18.8554687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x14ac:dyDescent="0.25">
      <c r="A4" s="5" t="s">
        <v>26</v>
      </c>
      <c r="B4" s="5" t="s">
        <v>27</v>
      </c>
      <c r="C4" s="5" t="s">
        <v>45</v>
      </c>
      <c r="D4" s="5" t="s">
        <v>46</v>
      </c>
      <c r="E4" s="5" t="s">
        <v>28</v>
      </c>
      <c r="F4" s="5" t="s">
        <v>47</v>
      </c>
      <c r="G4" s="5">
        <v>2019</v>
      </c>
      <c r="H4" s="5" t="str">
        <f>CONCATENATE("94240543960")</f>
        <v>94240543960</v>
      </c>
      <c r="I4" s="5" t="s">
        <v>34</v>
      </c>
      <c r="J4" s="5" t="s">
        <v>35</v>
      </c>
      <c r="K4" s="5" t="str">
        <f>CONCATENATE("")</f>
        <v/>
      </c>
      <c r="L4" s="5" t="str">
        <f>CONCATENATE("11 11.2 4b")</f>
        <v>11 11.2 4b</v>
      </c>
      <c r="M4" s="5" t="str">
        <f>CONCATENATE("CRRLGU66B11D628H")</f>
        <v>CRRLGU66B11D628H</v>
      </c>
      <c r="N4" s="5" t="s">
        <v>48</v>
      </c>
      <c r="O4" s="5" t="s">
        <v>49</v>
      </c>
      <c r="P4" s="6">
        <v>44046</v>
      </c>
      <c r="Q4" s="5" t="s">
        <v>30</v>
      </c>
      <c r="R4" s="5" t="s">
        <v>31</v>
      </c>
      <c r="S4" s="5" t="s">
        <v>32</v>
      </c>
      <c r="T4" s="5"/>
      <c r="U4" s="5">
        <v>200.14</v>
      </c>
      <c r="V4" s="5">
        <v>86.3</v>
      </c>
      <c r="W4" s="5">
        <v>79.7</v>
      </c>
      <c r="X4" s="5">
        <v>0</v>
      </c>
      <c r="Y4" s="5">
        <v>34.14</v>
      </c>
    </row>
    <row r="5" spans="1:25" x14ac:dyDescent="0.25">
      <c r="A5" s="5" t="s">
        <v>26</v>
      </c>
      <c r="B5" s="5" t="s">
        <v>27</v>
      </c>
      <c r="C5" s="5" t="s">
        <v>45</v>
      </c>
      <c r="D5" s="5" t="s">
        <v>46</v>
      </c>
      <c r="E5" s="5" t="s">
        <v>40</v>
      </c>
      <c r="F5" s="5" t="s">
        <v>50</v>
      </c>
      <c r="G5" s="5">
        <v>2019</v>
      </c>
      <c r="H5" s="5" t="str">
        <f>CONCATENATE("94240319429")</f>
        <v>94240319429</v>
      </c>
      <c r="I5" s="5" t="s">
        <v>34</v>
      </c>
      <c r="J5" s="5" t="s">
        <v>35</v>
      </c>
      <c r="K5" s="5" t="str">
        <f>CONCATENATE("")</f>
        <v/>
      </c>
      <c r="L5" s="5" t="str">
        <f>CONCATENATE("11 11.2 4b")</f>
        <v>11 11.2 4b</v>
      </c>
      <c r="M5" s="5" t="str">
        <f>CONCATENATE("SCRMRA30B56C203F")</f>
        <v>SCRMRA30B56C203F</v>
      </c>
      <c r="N5" s="5" t="s">
        <v>51</v>
      </c>
      <c r="O5" s="5" t="s">
        <v>49</v>
      </c>
      <c r="P5" s="6">
        <v>44046</v>
      </c>
      <c r="Q5" s="5" t="s">
        <v>30</v>
      </c>
      <c r="R5" s="5" t="s">
        <v>31</v>
      </c>
      <c r="S5" s="5" t="s">
        <v>32</v>
      </c>
      <c r="T5" s="5"/>
      <c r="U5" s="7">
        <v>5513.82</v>
      </c>
      <c r="V5" s="7">
        <v>2377.56</v>
      </c>
      <c r="W5" s="7">
        <v>2195.6</v>
      </c>
      <c r="X5" s="5">
        <v>0</v>
      </c>
      <c r="Y5" s="5">
        <v>940.66</v>
      </c>
    </row>
    <row r="6" spans="1:25" ht="24.75" x14ac:dyDescent="0.25">
      <c r="A6" s="5" t="s">
        <v>26</v>
      </c>
      <c r="B6" s="5" t="s">
        <v>27</v>
      </c>
      <c r="C6" s="5" t="s">
        <v>45</v>
      </c>
      <c r="D6" s="5" t="s">
        <v>52</v>
      </c>
      <c r="E6" s="5" t="s">
        <v>33</v>
      </c>
      <c r="F6" s="5" t="s">
        <v>53</v>
      </c>
      <c r="G6" s="5">
        <v>2019</v>
      </c>
      <c r="H6" s="5" t="str">
        <f>CONCATENATE("94241696585")</f>
        <v>94241696585</v>
      </c>
      <c r="I6" s="5" t="s">
        <v>34</v>
      </c>
      <c r="J6" s="5" t="s">
        <v>35</v>
      </c>
      <c r="K6" s="5" t="str">
        <f>CONCATENATE("")</f>
        <v/>
      </c>
      <c r="L6" s="5" t="str">
        <f>CONCATENATE("11 11.2 4b")</f>
        <v>11 11.2 4b</v>
      </c>
      <c r="M6" s="5" t="str">
        <f>CONCATENATE("KNDHMT55B28Z112G")</f>
        <v>KNDHMT55B28Z112G</v>
      </c>
      <c r="N6" s="5" t="s">
        <v>54</v>
      </c>
      <c r="O6" s="5" t="s">
        <v>49</v>
      </c>
      <c r="P6" s="6">
        <v>44046</v>
      </c>
      <c r="Q6" s="5" t="s">
        <v>30</v>
      </c>
      <c r="R6" s="5" t="s">
        <v>31</v>
      </c>
      <c r="S6" s="5" t="s">
        <v>32</v>
      </c>
      <c r="T6" s="5"/>
      <c r="U6" s="5">
        <v>486.42</v>
      </c>
      <c r="V6" s="5">
        <v>209.74</v>
      </c>
      <c r="W6" s="5">
        <v>193.69</v>
      </c>
      <c r="X6" s="5">
        <v>0</v>
      </c>
      <c r="Y6" s="5">
        <v>82.99</v>
      </c>
    </row>
    <row r="7" spans="1:25" ht="24.75" x14ac:dyDescent="0.25">
      <c r="A7" s="5" t="s">
        <v>26</v>
      </c>
      <c r="B7" s="5" t="s">
        <v>42</v>
      </c>
      <c r="C7" s="5" t="s">
        <v>45</v>
      </c>
      <c r="D7" s="5" t="s">
        <v>52</v>
      </c>
      <c r="E7" s="5" t="s">
        <v>44</v>
      </c>
      <c r="F7" s="5" t="s">
        <v>44</v>
      </c>
      <c r="G7" s="5">
        <v>2017</v>
      </c>
      <c r="H7" s="5" t="str">
        <f>CONCATENATE("04270061189")</f>
        <v>04270061189</v>
      </c>
      <c r="I7" s="5" t="s">
        <v>29</v>
      </c>
      <c r="J7" s="5" t="s">
        <v>35</v>
      </c>
      <c r="K7" s="5" t="str">
        <f>CONCATENATE("")</f>
        <v/>
      </c>
      <c r="L7" s="5" t="str">
        <f>CONCATENATE("6 6.1 2b")</f>
        <v>6 6.1 2b</v>
      </c>
      <c r="M7" s="5" t="str">
        <f>CONCATENATE("SRVNDR84C02A252U")</f>
        <v>SRVNDR84C02A252U</v>
      </c>
      <c r="N7" s="5" t="s">
        <v>55</v>
      </c>
      <c r="O7" s="5" t="s">
        <v>56</v>
      </c>
      <c r="P7" s="6">
        <v>44046</v>
      </c>
      <c r="Q7" s="5" t="s">
        <v>30</v>
      </c>
      <c r="R7" s="5" t="s">
        <v>31</v>
      </c>
      <c r="S7" s="5" t="s">
        <v>32</v>
      </c>
      <c r="T7" s="5"/>
      <c r="U7" s="7">
        <v>21000</v>
      </c>
      <c r="V7" s="7">
        <v>9055.2000000000007</v>
      </c>
      <c r="W7" s="7">
        <v>8362.2000000000007</v>
      </c>
      <c r="X7" s="5">
        <v>0</v>
      </c>
      <c r="Y7" s="7">
        <v>3582.6</v>
      </c>
    </row>
    <row r="8" spans="1:25" ht="24.75" x14ac:dyDescent="0.25">
      <c r="A8" s="5" t="s">
        <v>26</v>
      </c>
      <c r="B8" s="5" t="s">
        <v>27</v>
      </c>
      <c r="C8" s="5" t="s">
        <v>45</v>
      </c>
      <c r="D8" s="5" t="s">
        <v>52</v>
      </c>
      <c r="E8" s="5" t="s">
        <v>28</v>
      </c>
      <c r="F8" s="5" t="s">
        <v>57</v>
      </c>
      <c r="G8" s="5">
        <v>2019</v>
      </c>
      <c r="H8" s="5" t="str">
        <f>CONCATENATE("94241107625")</f>
        <v>94241107625</v>
      </c>
      <c r="I8" s="5" t="s">
        <v>29</v>
      </c>
      <c r="J8" s="5" t="s">
        <v>35</v>
      </c>
      <c r="K8" s="5" t="str">
        <f>CONCATENATE("")</f>
        <v/>
      </c>
      <c r="L8" s="5" t="str">
        <f>CONCATENATE("10 10.1 4a")</f>
        <v>10 10.1 4a</v>
      </c>
      <c r="M8" s="5" t="str">
        <f>CONCATENATE("GHMMRL68S49Z129X")</f>
        <v>GHMMRL68S49Z129X</v>
      </c>
      <c r="N8" s="5" t="s">
        <v>58</v>
      </c>
      <c r="O8" s="5" t="s">
        <v>59</v>
      </c>
      <c r="P8" s="6">
        <v>44046</v>
      </c>
      <c r="Q8" s="5" t="s">
        <v>30</v>
      </c>
      <c r="R8" s="5" t="s">
        <v>31</v>
      </c>
      <c r="S8" s="5" t="s">
        <v>32</v>
      </c>
      <c r="T8" s="5"/>
      <c r="U8" s="7">
        <v>1234.6400000000001</v>
      </c>
      <c r="V8" s="5">
        <v>532.38</v>
      </c>
      <c r="W8" s="5">
        <v>491.63</v>
      </c>
      <c r="X8" s="5">
        <v>0</v>
      </c>
      <c r="Y8" s="5">
        <v>210.63</v>
      </c>
    </row>
    <row r="9" spans="1:25" ht="24.75" x14ac:dyDescent="0.25">
      <c r="A9" s="5" t="s">
        <v>26</v>
      </c>
      <c r="B9" s="5" t="s">
        <v>27</v>
      </c>
      <c r="C9" s="5" t="s">
        <v>45</v>
      </c>
      <c r="D9" s="5" t="s">
        <v>52</v>
      </c>
      <c r="E9" s="5" t="s">
        <v>28</v>
      </c>
      <c r="F9" s="5" t="s">
        <v>60</v>
      </c>
      <c r="G9" s="5">
        <v>2018</v>
      </c>
      <c r="H9" s="5" t="str">
        <f>CONCATENATE("84240936710")</f>
        <v>84240936710</v>
      </c>
      <c r="I9" s="5" t="s">
        <v>29</v>
      </c>
      <c r="J9" s="5" t="s">
        <v>35</v>
      </c>
      <c r="K9" s="5" t="str">
        <f>CONCATENATE("")</f>
        <v/>
      </c>
      <c r="L9" s="5" t="str">
        <f>CONCATENATE("10 10.1 4a")</f>
        <v>10 10.1 4a</v>
      </c>
      <c r="M9" s="5" t="str">
        <f>CONCATENATE("MZZPLA82H20G920A")</f>
        <v>MZZPLA82H20G920A</v>
      </c>
      <c r="N9" s="5" t="s">
        <v>61</v>
      </c>
      <c r="O9" s="5" t="s">
        <v>59</v>
      </c>
      <c r="P9" s="6">
        <v>44046</v>
      </c>
      <c r="Q9" s="5" t="s">
        <v>30</v>
      </c>
      <c r="R9" s="5" t="s">
        <v>31</v>
      </c>
      <c r="S9" s="5" t="s">
        <v>32</v>
      </c>
      <c r="T9" s="5"/>
      <c r="U9" s="5">
        <v>327.52</v>
      </c>
      <c r="V9" s="5">
        <v>141.22999999999999</v>
      </c>
      <c r="W9" s="5">
        <v>130.41999999999999</v>
      </c>
      <c r="X9" s="5">
        <v>0</v>
      </c>
      <c r="Y9" s="5">
        <v>55.87</v>
      </c>
    </row>
    <row r="10" spans="1:25" ht="24.75" x14ac:dyDescent="0.25">
      <c r="A10" s="5" t="s">
        <v>26</v>
      </c>
      <c r="B10" s="5" t="s">
        <v>27</v>
      </c>
      <c r="C10" s="5" t="s">
        <v>45</v>
      </c>
      <c r="D10" s="5" t="s">
        <v>62</v>
      </c>
      <c r="E10" s="5" t="s">
        <v>33</v>
      </c>
      <c r="F10" s="5" t="s">
        <v>63</v>
      </c>
      <c r="G10" s="5">
        <v>2019</v>
      </c>
      <c r="H10" s="5" t="str">
        <f>CONCATENATE("94240435001")</f>
        <v>94240435001</v>
      </c>
      <c r="I10" s="5" t="s">
        <v>29</v>
      </c>
      <c r="J10" s="5" t="s">
        <v>35</v>
      </c>
      <c r="K10" s="5" t="str">
        <f>CONCATENATE("")</f>
        <v/>
      </c>
      <c r="L10" s="5" t="str">
        <f>CONCATENATE("10 10.1 4a")</f>
        <v>10 10.1 4a</v>
      </c>
      <c r="M10" s="5" t="str">
        <f>CONCATENATE("GBBLTT65D47E388Q")</f>
        <v>GBBLTT65D47E388Q</v>
      </c>
      <c r="N10" s="5" t="s">
        <v>64</v>
      </c>
      <c r="O10" s="5" t="s">
        <v>59</v>
      </c>
      <c r="P10" s="6">
        <v>44046</v>
      </c>
      <c r="Q10" s="5" t="s">
        <v>30</v>
      </c>
      <c r="R10" s="5" t="s">
        <v>31</v>
      </c>
      <c r="S10" s="5" t="s">
        <v>32</v>
      </c>
      <c r="T10" s="5"/>
      <c r="U10" s="5">
        <v>180</v>
      </c>
      <c r="V10" s="5">
        <v>77.62</v>
      </c>
      <c r="W10" s="5">
        <v>71.680000000000007</v>
      </c>
      <c r="X10" s="5">
        <v>0</v>
      </c>
      <c r="Y10" s="5">
        <v>30.7</v>
      </c>
    </row>
    <row r="11" spans="1:25" ht="24.75" x14ac:dyDescent="0.25">
      <c r="A11" s="5" t="s">
        <v>26</v>
      </c>
      <c r="B11" s="5" t="s">
        <v>27</v>
      </c>
      <c r="C11" s="5" t="s">
        <v>45</v>
      </c>
      <c r="D11" s="5" t="s">
        <v>52</v>
      </c>
      <c r="E11" s="5" t="s">
        <v>36</v>
      </c>
      <c r="F11" s="5" t="s">
        <v>65</v>
      </c>
      <c r="G11" s="5">
        <v>2018</v>
      </c>
      <c r="H11" s="5" t="str">
        <f>CONCATENATE("84240924625")</f>
        <v>84240924625</v>
      </c>
      <c r="I11" s="5" t="s">
        <v>29</v>
      </c>
      <c r="J11" s="5" t="s">
        <v>35</v>
      </c>
      <c r="K11" s="5" t="str">
        <f>CONCATENATE("")</f>
        <v/>
      </c>
      <c r="L11" s="5" t="str">
        <f>CONCATENATE("10 10.1 4a")</f>
        <v>10 10.1 4a</v>
      </c>
      <c r="M11" s="5" t="str">
        <f>CONCATENATE("01979160445")</f>
        <v>01979160445</v>
      </c>
      <c r="N11" s="5" t="s">
        <v>66</v>
      </c>
      <c r="O11" s="5" t="s">
        <v>59</v>
      </c>
      <c r="P11" s="6">
        <v>44046</v>
      </c>
      <c r="Q11" s="5" t="s">
        <v>30</v>
      </c>
      <c r="R11" s="5" t="s">
        <v>31</v>
      </c>
      <c r="S11" s="5" t="s">
        <v>32</v>
      </c>
      <c r="T11" s="5"/>
      <c r="U11" s="5">
        <v>470.84</v>
      </c>
      <c r="V11" s="5">
        <v>203.03</v>
      </c>
      <c r="W11" s="5">
        <v>187.49</v>
      </c>
      <c r="X11" s="5">
        <v>0</v>
      </c>
      <c r="Y11" s="5">
        <v>80.319999999999993</v>
      </c>
    </row>
    <row r="12" spans="1:25" ht="24.75" x14ac:dyDescent="0.25">
      <c r="A12" s="5" t="s">
        <v>26</v>
      </c>
      <c r="B12" s="5" t="s">
        <v>27</v>
      </c>
      <c r="C12" s="5" t="s">
        <v>45</v>
      </c>
      <c r="D12" s="5" t="s">
        <v>52</v>
      </c>
      <c r="E12" s="5" t="s">
        <v>36</v>
      </c>
      <c r="F12" s="5" t="s">
        <v>65</v>
      </c>
      <c r="G12" s="5">
        <v>2019</v>
      </c>
      <c r="H12" s="5" t="str">
        <f>CONCATENATE("94241150195")</f>
        <v>94241150195</v>
      </c>
      <c r="I12" s="5" t="s">
        <v>34</v>
      </c>
      <c r="J12" s="5" t="s">
        <v>35</v>
      </c>
      <c r="K12" s="5" t="str">
        <f>CONCATENATE("")</f>
        <v/>
      </c>
      <c r="L12" s="5" t="str">
        <f>CONCATENATE("10 10.1 4a")</f>
        <v>10 10.1 4a</v>
      </c>
      <c r="M12" s="5" t="str">
        <f>CONCATENATE("01979160445")</f>
        <v>01979160445</v>
      </c>
      <c r="N12" s="5" t="s">
        <v>66</v>
      </c>
      <c r="O12" s="5" t="s">
        <v>59</v>
      </c>
      <c r="P12" s="6">
        <v>44046</v>
      </c>
      <c r="Q12" s="5" t="s">
        <v>30</v>
      </c>
      <c r="R12" s="5" t="s">
        <v>31</v>
      </c>
      <c r="S12" s="5" t="s">
        <v>32</v>
      </c>
      <c r="T12" s="5"/>
      <c r="U12" s="5">
        <v>402.36</v>
      </c>
      <c r="V12" s="5">
        <v>173.5</v>
      </c>
      <c r="W12" s="5">
        <v>160.22</v>
      </c>
      <c r="X12" s="5">
        <v>0</v>
      </c>
      <c r="Y12" s="5">
        <v>68.64</v>
      </c>
    </row>
    <row r="13" spans="1:25" ht="24.75" x14ac:dyDescent="0.25">
      <c r="A13" s="5" t="s">
        <v>26</v>
      </c>
      <c r="B13" s="5" t="s">
        <v>27</v>
      </c>
      <c r="C13" s="5" t="s">
        <v>45</v>
      </c>
      <c r="D13" s="5" t="s">
        <v>52</v>
      </c>
      <c r="E13" s="5" t="s">
        <v>33</v>
      </c>
      <c r="F13" s="5" t="s">
        <v>67</v>
      </c>
      <c r="G13" s="5">
        <v>2019</v>
      </c>
      <c r="H13" s="5" t="str">
        <f>CONCATENATE("94240080443")</f>
        <v>94240080443</v>
      </c>
      <c r="I13" s="5" t="s">
        <v>29</v>
      </c>
      <c r="J13" s="5" t="s">
        <v>35</v>
      </c>
      <c r="K13" s="5" t="str">
        <f>CONCATENATE("")</f>
        <v/>
      </c>
      <c r="L13" s="5" t="str">
        <f>CONCATENATE("10 10.1 4a")</f>
        <v>10 10.1 4a</v>
      </c>
      <c r="M13" s="5" t="str">
        <f>CONCATENATE("GDESRG75A23A462H")</f>
        <v>GDESRG75A23A462H</v>
      </c>
      <c r="N13" s="5" t="s">
        <v>68</v>
      </c>
      <c r="O13" s="5" t="s">
        <v>59</v>
      </c>
      <c r="P13" s="6">
        <v>44046</v>
      </c>
      <c r="Q13" s="5" t="s">
        <v>30</v>
      </c>
      <c r="R13" s="5" t="s">
        <v>31</v>
      </c>
      <c r="S13" s="5" t="s">
        <v>32</v>
      </c>
      <c r="T13" s="5"/>
      <c r="U13" s="7">
        <v>4731</v>
      </c>
      <c r="V13" s="7">
        <v>2040.01</v>
      </c>
      <c r="W13" s="7">
        <v>1883.88</v>
      </c>
      <c r="X13" s="5">
        <v>0</v>
      </c>
      <c r="Y13" s="5">
        <v>807.11</v>
      </c>
    </row>
    <row r="14" spans="1:25" ht="24.75" x14ac:dyDescent="0.25">
      <c r="A14" s="5" t="s">
        <v>26</v>
      </c>
      <c r="B14" s="5" t="s">
        <v>27</v>
      </c>
      <c r="C14" s="5" t="s">
        <v>45</v>
      </c>
      <c r="D14" s="5" t="s">
        <v>52</v>
      </c>
      <c r="E14" s="5" t="s">
        <v>37</v>
      </c>
      <c r="F14" s="5" t="s">
        <v>69</v>
      </c>
      <c r="G14" s="5">
        <v>2019</v>
      </c>
      <c r="H14" s="5" t="str">
        <f>CONCATENATE("94241028490")</f>
        <v>94241028490</v>
      </c>
      <c r="I14" s="5" t="s">
        <v>29</v>
      </c>
      <c r="J14" s="5" t="s">
        <v>35</v>
      </c>
      <c r="K14" s="5" t="str">
        <f>CONCATENATE("")</f>
        <v/>
      </c>
      <c r="L14" s="5" t="str">
        <f>CONCATENATE("10 10.1 4a")</f>
        <v>10 10.1 4a</v>
      </c>
      <c r="M14" s="5" t="str">
        <f>CONCATENATE("GSPSDR73D46A462O")</f>
        <v>GSPSDR73D46A462O</v>
      </c>
      <c r="N14" s="5" t="s">
        <v>70</v>
      </c>
      <c r="O14" s="5" t="s">
        <v>59</v>
      </c>
      <c r="P14" s="6">
        <v>44046</v>
      </c>
      <c r="Q14" s="5" t="s">
        <v>30</v>
      </c>
      <c r="R14" s="5" t="s">
        <v>31</v>
      </c>
      <c r="S14" s="5" t="s">
        <v>32</v>
      </c>
      <c r="T14" s="5"/>
      <c r="U14" s="7">
        <v>4530</v>
      </c>
      <c r="V14" s="7">
        <v>1953.34</v>
      </c>
      <c r="W14" s="7">
        <v>1803.85</v>
      </c>
      <c r="X14" s="5">
        <v>0</v>
      </c>
      <c r="Y14" s="5">
        <v>772.81</v>
      </c>
    </row>
    <row r="15" spans="1:25" ht="24.75" x14ac:dyDescent="0.25">
      <c r="A15" s="5" t="s">
        <v>26</v>
      </c>
      <c r="B15" s="5" t="s">
        <v>27</v>
      </c>
      <c r="C15" s="5" t="s">
        <v>45</v>
      </c>
      <c r="D15" s="5" t="s">
        <v>52</v>
      </c>
      <c r="E15" s="5" t="s">
        <v>28</v>
      </c>
      <c r="F15" s="5" t="s">
        <v>71</v>
      </c>
      <c r="G15" s="5">
        <v>2019</v>
      </c>
      <c r="H15" s="5" t="str">
        <f>CONCATENATE("94240964786")</f>
        <v>94240964786</v>
      </c>
      <c r="I15" s="5" t="s">
        <v>29</v>
      </c>
      <c r="J15" s="5" t="s">
        <v>35</v>
      </c>
      <c r="K15" s="5" t="str">
        <f>CONCATENATE("")</f>
        <v/>
      </c>
      <c r="L15" s="5" t="str">
        <f>CONCATENATE("10 10.1 4a")</f>
        <v>10 10.1 4a</v>
      </c>
      <c r="M15" s="5" t="str">
        <f>CONCATENATE("MZZGNN67R10D542G")</f>
        <v>MZZGNN67R10D542G</v>
      </c>
      <c r="N15" s="5" t="s">
        <v>72</v>
      </c>
      <c r="O15" s="5" t="s">
        <v>59</v>
      </c>
      <c r="P15" s="6">
        <v>44046</v>
      </c>
      <c r="Q15" s="5" t="s">
        <v>30</v>
      </c>
      <c r="R15" s="5" t="s">
        <v>31</v>
      </c>
      <c r="S15" s="5" t="s">
        <v>32</v>
      </c>
      <c r="T15" s="5"/>
      <c r="U15" s="7">
        <v>2598.8000000000002</v>
      </c>
      <c r="V15" s="7">
        <v>1120.5999999999999</v>
      </c>
      <c r="W15" s="7">
        <v>1034.8399999999999</v>
      </c>
      <c r="X15" s="5">
        <v>0</v>
      </c>
      <c r="Y15" s="5">
        <v>443.36</v>
      </c>
    </row>
    <row r="16" spans="1:25" ht="24.75" x14ac:dyDescent="0.25">
      <c r="A16" s="5" t="s">
        <v>26</v>
      </c>
      <c r="B16" s="5" t="s">
        <v>27</v>
      </c>
      <c r="C16" s="5" t="s">
        <v>45</v>
      </c>
      <c r="D16" s="5" t="s">
        <v>73</v>
      </c>
      <c r="E16" s="5" t="s">
        <v>28</v>
      </c>
      <c r="F16" s="5" t="s">
        <v>74</v>
      </c>
      <c r="G16" s="5">
        <v>2019</v>
      </c>
      <c r="H16" s="5" t="str">
        <f>CONCATENATE("94240823727")</f>
        <v>94240823727</v>
      </c>
      <c r="I16" s="5" t="s">
        <v>29</v>
      </c>
      <c r="J16" s="5" t="s">
        <v>35</v>
      </c>
      <c r="K16" s="5" t="str">
        <f>CONCATENATE("")</f>
        <v/>
      </c>
      <c r="L16" s="5" t="str">
        <f>CONCATENATE("11 11.1 4b")</f>
        <v>11 11.1 4b</v>
      </c>
      <c r="M16" s="5" t="str">
        <f>CONCATENATE("BRTDNL76A26L500B")</f>
        <v>BRTDNL76A26L500B</v>
      </c>
      <c r="N16" s="5" t="s">
        <v>75</v>
      </c>
      <c r="O16" s="5" t="s">
        <v>49</v>
      </c>
      <c r="P16" s="6">
        <v>44046</v>
      </c>
      <c r="Q16" s="5" t="s">
        <v>30</v>
      </c>
      <c r="R16" s="5" t="s">
        <v>31</v>
      </c>
      <c r="S16" s="5" t="s">
        <v>32</v>
      </c>
      <c r="T16" s="5"/>
      <c r="U16" s="5">
        <v>386.33</v>
      </c>
      <c r="V16" s="5">
        <v>166.59</v>
      </c>
      <c r="W16" s="5">
        <v>153.84</v>
      </c>
      <c r="X16" s="5">
        <v>0</v>
      </c>
      <c r="Y16" s="5">
        <v>65.900000000000006</v>
      </c>
    </row>
    <row r="17" spans="1:25" ht="24.75" x14ac:dyDescent="0.25">
      <c r="A17" s="5" t="s">
        <v>26</v>
      </c>
      <c r="B17" s="5" t="s">
        <v>27</v>
      </c>
      <c r="C17" s="5" t="s">
        <v>45</v>
      </c>
      <c r="D17" s="5" t="s">
        <v>73</v>
      </c>
      <c r="E17" s="5" t="s">
        <v>33</v>
      </c>
      <c r="F17" s="5" t="s">
        <v>76</v>
      </c>
      <c r="G17" s="5">
        <v>2019</v>
      </c>
      <c r="H17" s="5" t="str">
        <f>CONCATENATE("94240408115")</f>
        <v>94240408115</v>
      </c>
      <c r="I17" s="5" t="s">
        <v>29</v>
      </c>
      <c r="J17" s="5" t="s">
        <v>35</v>
      </c>
      <c r="K17" s="5" t="str">
        <f>CONCATENATE("")</f>
        <v/>
      </c>
      <c r="L17" s="5" t="str">
        <f>CONCATENATE("11 11.1 4b")</f>
        <v>11 11.1 4b</v>
      </c>
      <c r="M17" s="5" t="str">
        <f>CONCATENATE("PRGLNA85D23A944K")</f>
        <v>PRGLNA85D23A944K</v>
      </c>
      <c r="N17" s="5" t="s">
        <v>77</v>
      </c>
      <c r="O17" s="5" t="s">
        <v>49</v>
      </c>
      <c r="P17" s="6">
        <v>44046</v>
      </c>
      <c r="Q17" s="5" t="s">
        <v>30</v>
      </c>
      <c r="R17" s="5" t="s">
        <v>31</v>
      </c>
      <c r="S17" s="5" t="s">
        <v>32</v>
      </c>
      <c r="T17" s="5"/>
      <c r="U17" s="7">
        <v>1090.5</v>
      </c>
      <c r="V17" s="5">
        <v>470.22</v>
      </c>
      <c r="W17" s="5">
        <v>434.24</v>
      </c>
      <c r="X17" s="5">
        <v>0</v>
      </c>
      <c r="Y17" s="5">
        <v>186.04</v>
      </c>
    </row>
    <row r="18" spans="1:25" ht="24.75" x14ac:dyDescent="0.25">
      <c r="A18" s="5" t="s">
        <v>26</v>
      </c>
      <c r="B18" s="5" t="s">
        <v>27</v>
      </c>
      <c r="C18" s="5" t="s">
        <v>45</v>
      </c>
      <c r="D18" s="5" t="s">
        <v>73</v>
      </c>
      <c r="E18" s="5" t="s">
        <v>28</v>
      </c>
      <c r="F18" s="5" t="s">
        <v>78</v>
      </c>
      <c r="G18" s="5">
        <v>2019</v>
      </c>
      <c r="H18" s="5" t="str">
        <f>CONCATENATE("94241061137")</f>
        <v>94241061137</v>
      </c>
      <c r="I18" s="5" t="s">
        <v>29</v>
      </c>
      <c r="J18" s="5" t="s">
        <v>35</v>
      </c>
      <c r="K18" s="5" t="str">
        <f>CONCATENATE("")</f>
        <v/>
      </c>
      <c r="L18" s="5" t="str">
        <f>CONCATENATE("11 11.2 4b")</f>
        <v>11 11.2 4b</v>
      </c>
      <c r="M18" s="5" t="str">
        <f>CONCATENATE("GRRMSM69C15F135K")</f>
        <v>GRRMSM69C15F135K</v>
      </c>
      <c r="N18" s="5" t="s">
        <v>79</v>
      </c>
      <c r="O18" s="5" t="s">
        <v>49</v>
      </c>
      <c r="P18" s="6">
        <v>44046</v>
      </c>
      <c r="Q18" s="5" t="s">
        <v>30</v>
      </c>
      <c r="R18" s="5" t="s">
        <v>31</v>
      </c>
      <c r="S18" s="5" t="s">
        <v>32</v>
      </c>
      <c r="T18" s="5"/>
      <c r="U18" s="5">
        <v>147.85</v>
      </c>
      <c r="V18" s="5">
        <v>63.75</v>
      </c>
      <c r="W18" s="5">
        <v>58.87</v>
      </c>
      <c r="X18" s="5">
        <v>0</v>
      </c>
      <c r="Y18" s="5">
        <v>25.23</v>
      </c>
    </row>
    <row r="19" spans="1:25" x14ac:dyDescent="0.25">
      <c r="A19" s="5" t="s">
        <v>26</v>
      </c>
      <c r="B19" s="5" t="s">
        <v>27</v>
      </c>
      <c r="C19" s="5" t="s">
        <v>45</v>
      </c>
      <c r="D19" s="5" t="s">
        <v>46</v>
      </c>
      <c r="E19" s="5" t="s">
        <v>28</v>
      </c>
      <c r="F19" s="5" t="s">
        <v>80</v>
      </c>
      <c r="G19" s="5">
        <v>2019</v>
      </c>
      <c r="H19" s="5" t="str">
        <f>CONCATENATE("94240838279")</f>
        <v>94240838279</v>
      </c>
      <c r="I19" s="5" t="s">
        <v>29</v>
      </c>
      <c r="J19" s="5" t="s">
        <v>35</v>
      </c>
      <c r="K19" s="5" t="str">
        <f>CONCATENATE("")</f>
        <v/>
      </c>
      <c r="L19" s="5" t="str">
        <f>CONCATENATE("11 11.1 4b")</f>
        <v>11 11.1 4b</v>
      </c>
      <c r="M19" s="5" t="str">
        <f>CONCATENATE("CLMCST83M14E388Z")</f>
        <v>CLMCST83M14E388Z</v>
      </c>
      <c r="N19" s="5" t="s">
        <v>81</v>
      </c>
      <c r="O19" s="5" t="s">
        <v>49</v>
      </c>
      <c r="P19" s="6">
        <v>44046</v>
      </c>
      <c r="Q19" s="5" t="s">
        <v>30</v>
      </c>
      <c r="R19" s="5" t="s">
        <v>31</v>
      </c>
      <c r="S19" s="5" t="s">
        <v>32</v>
      </c>
      <c r="T19" s="5"/>
      <c r="U19" s="5">
        <v>323.45999999999998</v>
      </c>
      <c r="V19" s="5">
        <v>139.47999999999999</v>
      </c>
      <c r="W19" s="5">
        <v>128.80000000000001</v>
      </c>
      <c r="X19" s="5">
        <v>0</v>
      </c>
      <c r="Y19" s="5">
        <v>55.18</v>
      </c>
    </row>
    <row r="20" spans="1:25" ht="24.75" x14ac:dyDescent="0.25">
      <c r="A20" s="5" t="s">
        <v>26</v>
      </c>
      <c r="B20" s="5" t="s">
        <v>27</v>
      </c>
      <c r="C20" s="5" t="s">
        <v>45</v>
      </c>
      <c r="D20" s="5" t="s">
        <v>73</v>
      </c>
      <c r="E20" s="5" t="s">
        <v>33</v>
      </c>
      <c r="F20" s="5" t="s">
        <v>82</v>
      </c>
      <c r="G20" s="5">
        <v>2019</v>
      </c>
      <c r="H20" s="5" t="str">
        <f>CONCATENATE("94240185077")</f>
        <v>94240185077</v>
      </c>
      <c r="I20" s="5" t="s">
        <v>29</v>
      </c>
      <c r="J20" s="5" t="s">
        <v>35</v>
      </c>
      <c r="K20" s="5" t="str">
        <f>CONCATENATE("")</f>
        <v/>
      </c>
      <c r="L20" s="5" t="str">
        <f>CONCATENATE("11 11.1 4b")</f>
        <v>11 11.1 4b</v>
      </c>
      <c r="M20" s="5" t="str">
        <f>CONCATENATE("LMBDDY85S26D749S")</f>
        <v>LMBDDY85S26D749S</v>
      </c>
      <c r="N20" s="5" t="s">
        <v>83</v>
      </c>
      <c r="O20" s="5" t="s">
        <v>49</v>
      </c>
      <c r="P20" s="6">
        <v>44046</v>
      </c>
      <c r="Q20" s="5" t="s">
        <v>30</v>
      </c>
      <c r="R20" s="5" t="s">
        <v>31</v>
      </c>
      <c r="S20" s="5" t="s">
        <v>32</v>
      </c>
      <c r="T20" s="5"/>
      <c r="U20" s="7">
        <v>2280.2199999999998</v>
      </c>
      <c r="V20" s="5">
        <v>983.23</v>
      </c>
      <c r="W20" s="5">
        <v>907.98</v>
      </c>
      <c r="X20" s="5">
        <v>0</v>
      </c>
      <c r="Y20" s="5">
        <v>389.01</v>
      </c>
    </row>
    <row r="21" spans="1:25" ht="24.75" x14ac:dyDescent="0.25">
      <c r="A21" s="5" t="s">
        <v>26</v>
      </c>
      <c r="B21" s="5" t="s">
        <v>27</v>
      </c>
      <c r="C21" s="5" t="s">
        <v>45</v>
      </c>
      <c r="D21" s="5" t="s">
        <v>73</v>
      </c>
      <c r="E21" s="5" t="s">
        <v>33</v>
      </c>
      <c r="F21" s="5" t="s">
        <v>84</v>
      </c>
      <c r="G21" s="5">
        <v>2019</v>
      </c>
      <c r="H21" s="5" t="str">
        <f>CONCATENATE("94240863160")</f>
        <v>94240863160</v>
      </c>
      <c r="I21" s="5" t="s">
        <v>29</v>
      </c>
      <c r="J21" s="5" t="s">
        <v>35</v>
      </c>
      <c r="K21" s="5" t="str">
        <f>CONCATENATE("")</f>
        <v/>
      </c>
      <c r="L21" s="5" t="str">
        <f>CONCATENATE("11 11.2 4b")</f>
        <v>11 11.2 4b</v>
      </c>
      <c r="M21" s="5" t="str">
        <f>CONCATENATE("RFFMHL61A69A332V")</f>
        <v>RFFMHL61A69A332V</v>
      </c>
      <c r="N21" s="5" t="s">
        <v>85</v>
      </c>
      <c r="O21" s="5" t="s">
        <v>49</v>
      </c>
      <c r="P21" s="6">
        <v>44046</v>
      </c>
      <c r="Q21" s="5" t="s">
        <v>30</v>
      </c>
      <c r="R21" s="5" t="s">
        <v>31</v>
      </c>
      <c r="S21" s="5" t="s">
        <v>32</v>
      </c>
      <c r="T21" s="5"/>
      <c r="U21" s="5">
        <v>664.97</v>
      </c>
      <c r="V21" s="5">
        <v>286.74</v>
      </c>
      <c r="W21" s="5">
        <v>264.79000000000002</v>
      </c>
      <c r="X21" s="5">
        <v>0</v>
      </c>
      <c r="Y21" s="5">
        <v>113.44</v>
      </c>
    </row>
    <row r="22" spans="1:25" ht="24.75" x14ac:dyDescent="0.25">
      <c r="A22" s="5" t="s">
        <v>26</v>
      </c>
      <c r="B22" s="5" t="s">
        <v>27</v>
      </c>
      <c r="C22" s="5" t="s">
        <v>45</v>
      </c>
      <c r="D22" s="5" t="s">
        <v>73</v>
      </c>
      <c r="E22" s="5" t="s">
        <v>40</v>
      </c>
      <c r="F22" s="5" t="s">
        <v>86</v>
      </c>
      <c r="G22" s="5">
        <v>2019</v>
      </c>
      <c r="H22" s="5" t="str">
        <f>CONCATENATE("94240173750")</f>
        <v>94240173750</v>
      </c>
      <c r="I22" s="5" t="s">
        <v>29</v>
      </c>
      <c r="J22" s="5" t="s">
        <v>35</v>
      </c>
      <c r="K22" s="5" t="str">
        <f>CONCATENATE("")</f>
        <v/>
      </c>
      <c r="L22" s="5" t="str">
        <f>CONCATENATE("11 11.1 4b")</f>
        <v>11 11.1 4b</v>
      </c>
      <c r="M22" s="5" t="str">
        <f>CONCATENATE("PCCMSM74P14I459T")</f>
        <v>PCCMSM74P14I459T</v>
      </c>
      <c r="N22" s="5" t="s">
        <v>87</v>
      </c>
      <c r="O22" s="5" t="s">
        <v>49</v>
      </c>
      <c r="P22" s="6">
        <v>44046</v>
      </c>
      <c r="Q22" s="5" t="s">
        <v>30</v>
      </c>
      <c r="R22" s="5" t="s">
        <v>31</v>
      </c>
      <c r="S22" s="5" t="s">
        <v>32</v>
      </c>
      <c r="T22" s="5"/>
      <c r="U22" s="5">
        <v>172.87</v>
      </c>
      <c r="V22" s="5">
        <v>74.540000000000006</v>
      </c>
      <c r="W22" s="5">
        <v>68.84</v>
      </c>
      <c r="X22" s="5">
        <v>0</v>
      </c>
      <c r="Y22" s="5">
        <v>29.49</v>
      </c>
    </row>
    <row r="23" spans="1:25" ht="24.75" x14ac:dyDescent="0.25">
      <c r="A23" s="5" t="s">
        <v>26</v>
      </c>
      <c r="B23" s="5" t="s">
        <v>27</v>
      </c>
      <c r="C23" s="5" t="s">
        <v>45</v>
      </c>
      <c r="D23" s="5" t="s">
        <v>73</v>
      </c>
      <c r="E23" s="5" t="s">
        <v>39</v>
      </c>
      <c r="F23" s="5" t="s">
        <v>88</v>
      </c>
      <c r="G23" s="5">
        <v>2019</v>
      </c>
      <c r="H23" s="5" t="str">
        <f>CONCATENATE("94240600901")</f>
        <v>94240600901</v>
      </c>
      <c r="I23" s="5" t="s">
        <v>29</v>
      </c>
      <c r="J23" s="5" t="s">
        <v>35</v>
      </c>
      <c r="K23" s="5" t="str">
        <f>CONCATENATE("")</f>
        <v/>
      </c>
      <c r="L23" s="5" t="str">
        <f>CONCATENATE("11 11.1 4b")</f>
        <v>11 11.1 4b</v>
      </c>
      <c r="M23" s="5" t="str">
        <f>CONCATENATE("00600040414")</f>
        <v>00600040414</v>
      </c>
      <c r="N23" s="5" t="s">
        <v>89</v>
      </c>
      <c r="O23" s="5" t="s">
        <v>49</v>
      </c>
      <c r="P23" s="6">
        <v>44046</v>
      </c>
      <c r="Q23" s="5" t="s">
        <v>30</v>
      </c>
      <c r="R23" s="5" t="s">
        <v>31</v>
      </c>
      <c r="S23" s="5" t="s">
        <v>32</v>
      </c>
      <c r="T23" s="5"/>
      <c r="U23" s="7">
        <v>1978.58</v>
      </c>
      <c r="V23" s="5">
        <v>853.16</v>
      </c>
      <c r="W23" s="5">
        <v>787.87</v>
      </c>
      <c r="X23" s="5">
        <v>0</v>
      </c>
      <c r="Y23" s="5">
        <v>337.55</v>
      </c>
    </row>
    <row r="24" spans="1:25" ht="24.75" x14ac:dyDescent="0.25">
      <c r="A24" s="5" t="s">
        <v>26</v>
      </c>
      <c r="B24" s="5" t="s">
        <v>27</v>
      </c>
      <c r="C24" s="5" t="s">
        <v>45</v>
      </c>
      <c r="D24" s="5" t="s">
        <v>52</v>
      </c>
      <c r="E24" s="5" t="s">
        <v>28</v>
      </c>
      <c r="F24" s="5" t="s">
        <v>57</v>
      </c>
      <c r="G24" s="5">
        <v>2019</v>
      </c>
      <c r="H24" s="5" t="str">
        <f>CONCATENATE("94240970486")</f>
        <v>94240970486</v>
      </c>
      <c r="I24" s="5" t="s">
        <v>34</v>
      </c>
      <c r="J24" s="5" t="s">
        <v>35</v>
      </c>
      <c r="K24" s="5" t="str">
        <f>CONCATENATE("")</f>
        <v/>
      </c>
      <c r="L24" s="5" t="str">
        <f>CONCATENATE("10 10.1 4a")</f>
        <v>10 10.1 4a</v>
      </c>
      <c r="M24" s="5" t="str">
        <f>CONCATENATE("TRNGZL54T48H588K")</f>
        <v>TRNGZL54T48H588K</v>
      </c>
      <c r="N24" s="5" t="s">
        <v>90</v>
      </c>
      <c r="O24" s="5" t="s">
        <v>59</v>
      </c>
      <c r="P24" s="6">
        <v>44046</v>
      </c>
      <c r="Q24" s="5" t="s">
        <v>30</v>
      </c>
      <c r="R24" s="5" t="s">
        <v>31</v>
      </c>
      <c r="S24" s="5" t="s">
        <v>32</v>
      </c>
      <c r="T24" s="5"/>
      <c r="U24" s="5">
        <v>426.44</v>
      </c>
      <c r="V24" s="5">
        <v>183.88</v>
      </c>
      <c r="W24" s="5">
        <v>169.81</v>
      </c>
      <c r="X24" s="5">
        <v>0</v>
      </c>
      <c r="Y24" s="5">
        <v>72.75</v>
      </c>
    </row>
    <row r="25" spans="1:25" ht="24.75" x14ac:dyDescent="0.25">
      <c r="A25" s="5" t="s">
        <v>26</v>
      </c>
      <c r="B25" s="5" t="s">
        <v>27</v>
      </c>
      <c r="C25" s="5" t="s">
        <v>45</v>
      </c>
      <c r="D25" s="5" t="s">
        <v>52</v>
      </c>
      <c r="E25" s="5" t="s">
        <v>28</v>
      </c>
      <c r="F25" s="5" t="s">
        <v>91</v>
      </c>
      <c r="G25" s="5">
        <v>2018</v>
      </c>
      <c r="H25" s="5" t="str">
        <f>CONCATENATE("84240745657")</f>
        <v>84240745657</v>
      </c>
      <c r="I25" s="5" t="s">
        <v>29</v>
      </c>
      <c r="J25" s="5" t="s">
        <v>35</v>
      </c>
      <c r="K25" s="5" t="str">
        <f>CONCATENATE("")</f>
        <v/>
      </c>
      <c r="L25" s="5" t="str">
        <f>CONCATENATE("10 10.1 4a")</f>
        <v>10 10.1 4a</v>
      </c>
      <c r="M25" s="5" t="str">
        <f>CONCATENATE("MDNVRM72P69F205Y")</f>
        <v>MDNVRM72P69F205Y</v>
      </c>
      <c r="N25" s="5" t="s">
        <v>92</v>
      </c>
      <c r="O25" s="5" t="s">
        <v>59</v>
      </c>
      <c r="P25" s="6">
        <v>44046</v>
      </c>
      <c r="Q25" s="5" t="s">
        <v>30</v>
      </c>
      <c r="R25" s="5" t="s">
        <v>31</v>
      </c>
      <c r="S25" s="5" t="s">
        <v>32</v>
      </c>
      <c r="T25" s="5"/>
      <c r="U25" s="5">
        <v>427.68</v>
      </c>
      <c r="V25" s="5">
        <v>184.42</v>
      </c>
      <c r="W25" s="5">
        <v>170.3</v>
      </c>
      <c r="X25" s="5">
        <v>0</v>
      </c>
      <c r="Y25" s="5">
        <v>72.959999999999994</v>
      </c>
    </row>
    <row r="26" spans="1:25" ht="24.75" x14ac:dyDescent="0.25">
      <c r="A26" s="5" t="s">
        <v>26</v>
      </c>
      <c r="B26" s="5" t="s">
        <v>27</v>
      </c>
      <c r="C26" s="5" t="s">
        <v>45</v>
      </c>
      <c r="D26" s="5" t="s">
        <v>52</v>
      </c>
      <c r="E26" s="5" t="s">
        <v>28</v>
      </c>
      <c r="F26" s="5" t="s">
        <v>91</v>
      </c>
      <c r="G26" s="5">
        <v>2019</v>
      </c>
      <c r="H26" s="5" t="str">
        <f>CONCATENATE("94240143274")</f>
        <v>94240143274</v>
      </c>
      <c r="I26" s="5" t="s">
        <v>29</v>
      </c>
      <c r="J26" s="5" t="s">
        <v>35</v>
      </c>
      <c r="K26" s="5" t="str">
        <f>CONCATENATE("")</f>
        <v/>
      </c>
      <c r="L26" s="5" t="str">
        <f>CONCATENATE("10 10.1 4a")</f>
        <v>10 10.1 4a</v>
      </c>
      <c r="M26" s="5" t="str">
        <f>CONCATENATE("MDNVRM72P69F205Y")</f>
        <v>MDNVRM72P69F205Y</v>
      </c>
      <c r="N26" s="5" t="s">
        <v>92</v>
      </c>
      <c r="O26" s="5" t="s">
        <v>59</v>
      </c>
      <c r="P26" s="6">
        <v>44046</v>
      </c>
      <c r="Q26" s="5" t="s">
        <v>30</v>
      </c>
      <c r="R26" s="5" t="s">
        <v>31</v>
      </c>
      <c r="S26" s="5" t="s">
        <v>32</v>
      </c>
      <c r="T26" s="5"/>
      <c r="U26" s="5">
        <v>427.68</v>
      </c>
      <c r="V26" s="5">
        <v>184.42</v>
      </c>
      <c r="W26" s="5">
        <v>170.3</v>
      </c>
      <c r="X26" s="5">
        <v>0</v>
      </c>
      <c r="Y26" s="5">
        <v>72.959999999999994</v>
      </c>
    </row>
    <row r="27" spans="1:25" ht="24.75" x14ac:dyDescent="0.25">
      <c r="A27" s="5" t="s">
        <v>26</v>
      </c>
      <c r="B27" s="5" t="s">
        <v>27</v>
      </c>
      <c r="C27" s="5" t="s">
        <v>45</v>
      </c>
      <c r="D27" s="5" t="s">
        <v>52</v>
      </c>
      <c r="E27" s="5" t="s">
        <v>38</v>
      </c>
      <c r="F27" s="5" t="s">
        <v>93</v>
      </c>
      <c r="G27" s="5">
        <v>2019</v>
      </c>
      <c r="H27" s="5" t="str">
        <f>CONCATENATE("94240709488")</f>
        <v>94240709488</v>
      </c>
      <c r="I27" s="5" t="s">
        <v>34</v>
      </c>
      <c r="J27" s="5" t="s">
        <v>35</v>
      </c>
      <c r="K27" s="5" t="str">
        <f>CONCATENATE("")</f>
        <v/>
      </c>
      <c r="L27" s="5" t="str">
        <f>CONCATENATE("10 10.1 4a")</f>
        <v>10 10.1 4a</v>
      </c>
      <c r="M27" s="5" t="str">
        <f>CONCATENATE("02274800446")</f>
        <v>02274800446</v>
      </c>
      <c r="N27" s="5" t="s">
        <v>94</v>
      </c>
      <c r="O27" s="5" t="s">
        <v>59</v>
      </c>
      <c r="P27" s="6">
        <v>44046</v>
      </c>
      <c r="Q27" s="5" t="s">
        <v>30</v>
      </c>
      <c r="R27" s="5" t="s">
        <v>31</v>
      </c>
      <c r="S27" s="5" t="s">
        <v>32</v>
      </c>
      <c r="T27" s="5"/>
      <c r="U27" s="7">
        <v>2237.4</v>
      </c>
      <c r="V27" s="5">
        <v>964.77</v>
      </c>
      <c r="W27" s="5">
        <v>890.93</v>
      </c>
      <c r="X27" s="5">
        <v>0</v>
      </c>
      <c r="Y27" s="5">
        <v>381.7</v>
      </c>
    </row>
    <row r="28" spans="1:25" ht="24.75" x14ac:dyDescent="0.25">
      <c r="A28" s="5" t="s">
        <v>26</v>
      </c>
      <c r="B28" s="5" t="s">
        <v>27</v>
      </c>
      <c r="C28" s="5" t="s">
        <v>45</v>
      </c>
      <c r="D28" s="5" t="s">
        <v>52</v>
      </c>
      <c r="E28" s="5" t="s">
        <v>33</v>
      </c>
      <c r="F28" s="5" t="s">
        <v>67</v>
      </c>
      <c r="G28" s="5">
        <v>2019</v>
      </c>
      <c r="H28" s="5" t="str">
        <f>CONCATENATE("94240149669")</f>
        <v>94240149669</v>
      </c>
      <c r="I28" s="5" t="s">
        <v>29</v>
      </c>
      <c r="J28" s="5" t="s">
        <v>35</v>
      </c>
      <c r="K28" s="5" t="str">
        <f>CONCATENATE("")</f>
        <v/>
      </c>
      <c r="L28" s="5" t="str">
        <f>CONCATENATE("10 10.1 4a")</f>
        <v>10 10.1 4a</v>
      </c>
      <c r="M28" s="5" t="str">
        <f>CONCATENATE("00504050444")</f>
        <v>00504050444</v>
      </c>
      <c r="N28" s="5" t="s">
        <v>95</v>
      </c>
      <c r="O28" s="5" t="s">
        <v>59</v>
      </c>
      <c r="P28" s="6">
        <v>44046</v>
      </c>
      <c r="Q28" s="5" t="s">
        <v>30</v>
      </c>
      <c r="R28" s="5" t="s">
        <v>31</v>
      </c>
      <c r="S28" s="5" t="s">
        <v>32</v>
      </c>
      <c r="T28" s="5"/>
      <c r="U28" s="5">
        <v>747.8</v>
      </c>
      <c r="V28" s="5">
        <v>322.45</v>
      </c>
      <c r="W28" s="5">
        <v>297.77</v>
      </c>
      <c r="X28" s="5">
        <v>0</v>
      </c>
      <c r="Y28" s="5">
        <v>127.58</v>
      </c>
    </row>
    <row r="29" spans="1:25" ht="24.75" x14ac:dyDescent="0.25">
      <c r="A29" s="5" t="s">
        <v>26</v>
      </c>
      <c r="B29" s="5" t="s">
        <v>27</v>
      </c>
      <c r="C29" s="5" t="s">
        <v>45</v>
      </c>
      <c r="D29" s="5" t="s">
        <v>52</v>
      </c>
      <c r="E29" s="5" t="s">
        <v>41</v>
      </c>
      <c r="F29" s="5" t="s">
        <v>96</v>
      </c>
      <c r="G29" s="5">
        <v>2019</v>
      </c>
      <c r="H29" s="5" t="str">
        <f>CONCATENATE("94240928260")</f>
        <v>94240928260</v>
      </c>
      <c r="I29" s="5" t="s">
        <v>29</v>
      </c>
      <c r="J29" s="5" t="s">
        <v>35</v>
      </c>
      <c r="K29" s="5" t="str">
        <f>CONCATENATE("")</f>
        <v/>
      </c>
      <c r="L29" s="5" t="str">
        <f>CONCATENATE("10 10.1 4a")</f>
        <v>10 10.1 4a</v>
      </c>
      <c r="M29" s="5" t="str">
        <f>CONCATENATE("CRCSLN44R71A462G")</f>
        <v>CRCSLN44R71A462G</v>
      </c>
      <c r="N29" s="5" t="s">
        <v>97</v>
      </c>
      <c r="O29" s="5" t="s">
        <v>59</v>
      </c>
      <c r="P29" s="6">
        <v>44046</v>
      </c>
      <c r="Q29" s="5" t="s">
        <v>30</v>
      </c>
      <c r="R29" s="5" t="s">
        <v>31</v>
      </c>
      <c r="S29" s="5" t="s">
        <v>32</v>
      </c>
      <c r="T29" s="5"/>
      <c r="U29" s="5">
        <v>441.08</v>
      </c>
      <c r="V29" s="5">
        <v>190.19</v>
      </c>
      <c r="W29" s="5">
        <v>175.64</v>
      </c>
      <c r="X29" s="5">
        <v>0</v>
      </c>
      <c r="Y29" s="5">
        <v>75.25</v>
      </c>
    </row>
    <row r="30" spans="1:25" ht="24.75" x14ac:dyDescent="0.25">
      <c r="A30" s="5" t="s">
        <v>26</v>
      </c>
      <c r="B30" s="5" t="s">
        <v>27</v>
      </c>
      <c r="C30" s="5" t="s">
        <v>45</v>
      </c>
      <c r="D30" s="5" t="s">
        <v>52</v>
      </c>
      <c r="E30" s="5" t="s">
        <v>28</v>
      </c>
      <c r="F30" s="5" t="s">
        <v>91</v>
      </c>
      <c r="G30" s="5">
        <v>2019</v>
      </c>
      <c r="H30" s="5" t="str">
        <f>CONCATENATE("94240077092")</f>
        <v>94240077092</v>
      </c>
      <c r="I30" s="5" t="s">
        <v>29</v>
      </c>
      <c r="J30" s="5" t="s">
        <v>35</v>
      </c>
      <c r="K30" s="5" t="str">
        <f>CONCATENATE("")</f>
        <v/>
      </c>
      <c r="L30" s="5" t="str">
        <f>CONCATENATE("10 10.1 4a")</f>
        <v>10 10.1 4a</v>
      </c>
      <c r="M30" s="5" t="str">
        <f>CONCATENATE("CCCCST68R01A462S")</f>
        <v>CCCCST68R01A462S</v>
      </c>
      <c r="N30" s="5" t="s">
        <v>98</v>
      </c>
      <c r="O30" s="5" t="s">
        <v>59</v>
      </c>
      <c r="P30" s="6">
        <v>44046</v>
      </c>
      <c r="Q30" s="5" t="s">
        <v>30</v>
      </c>
      <c r="R30" s="5" t="s">
        <v>31</v>
      </c>
      <c r="S30" s="5" t="s">
        <v>32</v>
      </c>
      <c r="T30" s="5"/>
      <c r="U30" s="7">
        <v>2007.72</v>
      </c>
      <c r="V30" s="5">
        <v>865.73</v>
      </c>
      <c r="W30" s="5">
        <v>799.47</v>
      </c>
      <c r="X30" s="5">
        <v>0</v>
      </c>
      <c r="Y30" s="5">
        <v>342.52</v>
      </c>
    </row>
    <row r="31" spans="1:25" ht="24.75" x14ac:dyDescent="0.25">
      <c r="A31" s="5" t="s">
        <v>26</v>
      </c>
      <c r="B31" s="5" t="s">
        <v>27</v>
      </c>
      <c r="C31" s="5" t="s">
        <v>45</v>
      </c>
      <c r="D31" s="5" t="s">
        <v>52</v>
      </c>
      <c r="E31" s="5" t="s">
        <v>38</v>
      </c>
      <c r="F31" s="5" t="s">
        <v>99</v>
      </c>
      <c r="G31" s="5">
        <v>2018</v>
      </c>
      <c r="H31" s="5" t="str">
        <f>CONCATENATE("84240907091")</f>
        <v>84240907091</v>
      </c>
      <c r="I31" s="5" t="s">
        <v>29</v>
      </c>
      <c r="J31" s="5" t="s">
        <v>35</v>
      </c>
      <c r="K31" s="5" t="str">
        <f>CONCATENATE("")</f>
        <v/>
      </c>
      <c r="L31" s="5" t="str">
        <f>CONCATENATE("10 10.1 4a")</f>
        <v>10 10.1 4a</v>
      </c>
      <c r="M31" s="5" t="str">
        <f>CONCATENATE("SPNSLV85L63H501V")</f>
        <v>SPNSLV85L63H501V</v>
      </c>
      <c r="N31" s="5" t="s">
        <v>100</v>
      </c>
      <c r="O31" s="5" t="s">
        <v>59</v>
      </c>
      <c r="P31" s="6">
        <v>44046</v>
      </c>
      <c r="Q31" s="5" t="s">
        <v>30</v>
      </c>
      <c r="R31" s="5" t="s">
        <v>31</v>
      </c>
      <c r="S31" s="5" t="s">
        <v>32</v>
      </c>
      <c r="T31" s="5"/>
      <c r="U31" s="7">
        <v>2147.64</v>
      </c>
      <c r="V31" s="5">
        <v>926.06</v>
      </c>
      <c r="W31" s="5">
        <v>855.19</v>
      </c>
      <c r="X31" s="5">
        <v>0</v>
      </c>
      <c r="Y31" s="5">
        <v>366.39</v>
      </c>
    </row>
    <row r="32" spans="1:25" ht="24.75" x14ac:dyDescent="0.25">
      <c r="A32" s="5" t="s">
        <v>26</v>
      </c>
      <c r="B32" s="5" t="s">
        <v>27</v>
      </c>
      <c r="C32" s="5" t="s">
        <v>45</v>
      </c>
      <c r="D32" s="5" t="s">
        <v>52</v>
      </c>
      <c r="E32" s="5" t="s">
        <v>38</v>
      </c>
      <c r="F32" s="5" t="s">
        <v>99</v>
      </c>
      <c r="G32" s="5">
        <v>2019</v>
      </c>
      <c r="H32" s="5" t="str">
        <f>CONCATENATE("94240248883")</f>
        <v>94240248883</v>
      </c>
      <c r="I32" s="5" t="s">
        <v>29</v>
      </c>
      <c r="J32" s="5" t="s">
        <v>35</v>
      </c>
      <c r="K32" s="5" t="str">
        <f>CONCATENATE("")</f>
        <v/>
      </c>
      <c r="L32" s="5" t="str">
        <f>CONCATENATE("10 10.1 4a")</f>
        <v>10 10.1 4a</v>
      </c>
      <c r="M32" s="5" t="str">
        <f>CONCATENATE("SPNSLV85L63H501V")</f>
        <v>SPNSLV85L63H501V</v>
      </c>
      <c r="N32" s="5" t="s">
        <v>100</v>
      </c>
      <c r="O32" s="5" t="s">
        <v>59</v>
      </c>
      <c r="P32" s="6">
        <v>44046</v>
      </c>
      <c r="Q32" s="5" t="s">
        <v>30</v>
      </c>
      <c r="R32" s="5" t="s">
        <v>31</v>
      </c>
      <c r="S32" s="5" t="s">
        <v>32</v>
      </c>
      <c r="T32" s="5"/>
      <c r="U32" s="7">
        <v>2140.4</v>
      </c>
      <c r="V32" s="5">
        <v>922.94</v>
      </c>
      <c r="W32" s="5">
        <v>852.31</v>
      </c>
      <c r="X32" s="5">
        <v>0</v>
      </c>
      <c r="Y32" s="5">
        <v>365.15</v>
      </c>
    </row>
    <row r="33" spans="1:25" ht="24.75" x14ac:dyDescent="0.25">
      <c r="A33" s="5" t="s">
        <v>26</v>
      </c>
      <c r="B33" s="5" t="s">
        <v>27</v>
      </c>
      <c r="C33" s="5" t="s">
        <v>45</v>
      </c>
      <c r="D33" s="5" t="s">
        <v>52</v>
      </c>
      <c r="E33" s="5" t="s">
        <v>36</v>
      </c>
      <c r="F33" s="5" t="s">
        <v>65</v>
      </c>
      <c r="G33" s="5">
        <v>2019</v>
      </c>
      <c r="H33" s="5" t="str">
        <f>CONCATENATE("94240990062")</f>
        <v>94240990062</v>
      </c>
      <c r="I33" s="5" t="s">
        <v>29</v>
      </c>
      <c r="J33" s="5" t="s">
        <v>35</v>
      </c>
      <c r="K33" s="5" t="str">
        <f>CONCATENATE("")</f>
        <v/>
      </c>
      <c r="L33" s="5" t="str">
        <f>CONCATENATE("10 10.1 4a")</f>
        <v>10 10.1 4a</v>
      </c>
      <c r="M33" s="5" t="str">
        <f>CONCATENATE("FCRLGE56C12A462Z")</f>
        <v>FCRLGE56C12A462Z</v>
      </c>
      <c r="N33" s="5" t="s">
        <v>101</v>
      </c>
      <c r="O33" s="5" t="s">
        <v>59</v>
      </c>
      <c r="P33" s="6">
        <v>44046</v>
      </c>
      <c r="Q33" s="5" t="s">
        <v>30</v>
      </c>
      <c r="R33" s="5" t="s">
        <v>31</v>
      </c>
      <c r="S33" s="5" t="s">
        <v>32</v>
      </c>
      <c r="T33" s="5"/>
      <c r="U33" s="7">
        <v>1384.32</v>
      </c>
      <c r="V33" s="5">
        <v>596.91999999999996</v>
      </c>
      <c r="W33" s="5">
        <v>551.24</v>
      </c>
      <c r="X33" s="5">
        <v>0</v>
      </c>
      <c r="Y33" s="5">
        <v>236.16</v>
      </c>
    </row>
    <row r="34" spans="1:25" ht="24.75" x14ac:dyDescent="0.25">
      <c r="A34" s="5" t="s">
        <v>26</v>
      </c>
      <c r="B34" s="5" t="s">
        <v>27</v>
      </c>
      <c r="C34" s="5" t="s">
        <v>45</v>
      </c>
      <c r="D34" s="5" t="s">
        <v>62</v>
      </c>
      <c r="E34" s="5" t="s">
        <v>28</v>
      </c>
      <c r="F34" s="5" t="s">
        <v>102</v>
      </c>
      <c r="G34" s="5">
        <v>2018</v>
      </c>
      <c r="H34" s="5" t="str">
        <f>CONCATENATE("84240717458")</f>
        <v>84240717458</v>
      </c>
      <c r="I34" s="5" t="s">
        <v>29</v>
      </c>
      <c r="J34" s="5" t="s">
        <v>35</v>
      </c>
      <c r="K34" s="5" t="str">
        <f>CONCATENATE("")</f>
        <v/>
      </c>
      <c r="L34" s="5" t="str">
        <f>CONCATENATE("10 10.1 4a")</f>
        <v>10 10.1 4a</v>
      </c>
      <c r="M34" s="5" t="str">
        <f>CONCATENATE("81002710424")</f>
        <v>81002710424</v>
      </c>
      <c r="N34" s="5" t="s">
        <v>103</v>
      </c>
      <c r="O34" s="5" t="s">
        <v>59</v>
      </c>
      <c r="P34" s="6">
        <v>44046</v>
      </c>
      <c r="Q34" s="5" t="s">
        <v>30</v>
      </c>
      <c r="R34" s="5" t="s">
        <v>31</v>
      </c>
      <c r="S34" s="5" t="s">
        <v>32</v>
      </c>
      <c r="T34" s="5"/>
      <c r="U34" s="5">
        <v>120</v>
      </c>
      <c r="V34" s="5">
        <v>51.74</v>
      </c>
      <c r="W34" s="5">
        <v>47.78</v>
      </c>
      <c r="X34" s="5">
        <v>0</v>
      </c>
      <c r="Y34" s="5">
        <v>20.48</v>
      </c>
    </row>
    <row r="35" spans="1:25" ht="24.75" x14ac:dyDescent="0.25">
      <c r="A35" s="5" t="s">
        <v>26</v>
      </c>
      <c r="B35" s="5" t="s">
        <v>27</v>
      </c>
      <c r="C35" s="5" t="s">
        <v>45</v>
      </c>
      <c r="D35" s="5" t="s">
        <v>52</v>
      </c>
      <c r="E35" s="5" t="s">
        <v>28</v>
      </c>
      <c r="F35" s="5" t="s">
        <v>57</v>
      </c>
      <c r="G35" s="5">
        <v>2019</v>
      </c>
      <c r="H35" s="5" t="str">
        <f>CONCATENATE("94241100877")</f>
        <v>94241100877</v>
      </c>
      <c r="I35" s="5" t="s">
        <v>29</v>
      </c>
      <c r="J35" s="5" t="s">
        <v>35</v>
      </c>
      <c r="K35" s="5" t="str">
        <f>CONCATENATE("")</f>
        <v/>
      </c>
      <c r="L35" s="5" t="str">
        <f>CONCATENATE("10 10.1 4a")</f>
        <v>10 10.1 4a</v>
      </c>
      <c r="M35" s="5" t="str">
        <f>CONCATENATE("GMNLTZ98H57A271V")</f>
        <v>GMNLTZ98H57A271V</v>
      </c>
      <c r="N35" s="5" t="s">
        <v>104</v>
      </c>
      <c r="O35" s="5" t="s">
        <v>59</v>
      </c>
      <c r="P35" s="6">
        <v>44046</v>
      </c>
      <c r="Q35" s="5" t="s">
        <v>30</v>
      </c>
      <c r="R35" s="5" t="s">
        <v>31</v>
      </c>
      <c r="S35" s="5" t="s">
        <v>32</v>
      </c>
      <c r="T35" s="5"/>
      <c r="U35" s="5">
        <v>824.82</v>
      </c>
      <c r="V35" s="5">
        <v>355.66</v>
      </c>
      <c r="W35" s="5">
        <v>328.44</v>
      </c>
      <c r="X35" s="5">
        <v>0</v>
      </c>
      <c r="Y35" s="5">
        <v>140.72</v>
      </c>
    </row>
    <row r="36" spans="1:25" ht="24.75" x14ac:dyDescent="0.25">
      <c r="A36" s="5" t="s">
        <v>26</v>
      </c>
      <c r="B36" s="5" t="s">
        <v>27</v>
      </c>
      <c r="C36" s="5" t="s">
        <v>45</v>
      </c>
      <c r="D36" s="5" t="s">
        <v>73</v>
      </c>
      <c r="E36" s="5" t="s">
        <v>28</v>
      </c>
      <c r="F36" s="5" t="s">
        <v>105</v>
      </c>
      <c r="G36" s="5">
        <v>2019</v>
      </c>
      <c r="H36" s="5" t="str">
        <f>CONCATENATE("94240929748")</f>
        <v>94240929748</v>
      </c>
      <c r="I36" s="5" t="s">
        <v>29</v>
      </c>
      <c r="J36" s="5" t="s">
        <v>35</v>
      </c>
      <c r="K36" s="5" t="str">
        <f>CONCATENATE("")</f>
        <v/>
      </c>
      <c r="L36" s="5" t="str">
        <f>CONCATENATE("11 11.1 4b")</f>
        <v>11 11.1 4b</v>
      </c>
      <c r="M36" s="5" t="str">
        <f>CONCATENATE("TGNDNL89B27B352J")</f>
        <v>TGNDNL89B27B352J</v>
      </c>
      <c r="N36" s="5" t="s">
        <v>106</v>
      </c>
      <c r="O36" s="5" t="s">
        <v>49</v>
      </c>
      <c r="P36" s="6">
        <v>44046</v>
      </c>
      <c r="Q36" s="5" t="s">
        <v>30</v>
      </c>
      <c r="R36" s="5" t="s">
        <v>31</v>
      </c>
      <c r="S36" s="5" t="s">
        <v>32</v>
      </c>
      <c r="T36" s="5"/>
      <c r="U36" s="5">
        <v>728.68</v>
      </c>
      <c r="V36" s="5">
        <v>314.20999999999998</v>
      </c>
      <c r="W36" s="5">
        <v>290.16000000000003</v>
      </c>
      <c r="X36" s="5">
        <v>0</v>
      </c>
      <c r="Y36" s="5">
        <v>124.31</v>
      </c>
    </row>
    <row r="37" spans="1:25" ht="24.75" x14ac:dyDescent="0.25">
      <c r="A37" s="5" t="s">
        <v>26</v>
      </c>
      <c r="B37" s="5" t="s">
        <v>27</v>
      </c>
      <c r="C37" s="5" t="s">
        <v>45</v>
      </c>
      <c r="D37" s="5" t="s">
        <v>73</v>
      </c>
      <c r="E37" s="5" t="s">
        <v>28</v>
      </c>
      <c r="F37" s="5" t="s">
        <v>105</v>
      </c>
      <c r="G37" s="5">
        <v>2019</v>
      </c>
      <c r="H37" s="5" t="str">
        <f>CONCATENATE("94240962640")</f>
        <v>94240962640</v>
      </c>
      <c r="I37" s="5" t="s">
        <v>29</v>
      </c>
      <c r="J37" s="5" t="s">
        <v>35</v>
      </c>
      <c r="K37" s="5" t="str">
        <f>CONCATENATE("")</f>
        <v/>
      </c>
      <c r="L37" s="5" t="str">
        <f>CONCATENATE("11 11.1 4b")</f>
        <v>11 11.1 4b</v>
      </c>
      <c r="M37" s="5" t="str">
        <f>CONCATENATE("STRDVD92A26L500R")</f>
        <v>STRDVD92A26L500R</v>
      </c>
      <c r="N37" s="5" t="s">
        <v>107</v>
      </c>
      <c r="O37" s="5" t="s">
        <v>49</v>
      </c>
      <c r="P37" s="6">
        <v>44046</v>
      </c>
      <c r="Q37" s="5" t="s">
        <v>30</v>
      </c>
      <c r="R37" s="5" t="s">
        <v>31</v>
      </c>
      <c r="S37" s="5" t="s">
        <v>32</v>
      </c>
      <c r="T37" s="5"/>
      <c r="U37" s="5">
        <v>680.96</v>
      </c>
      <c r="V37" s="5">
        <v>293.63</v>
      </c>
      <c r="W37" s="5">
        <v>271.16000000000003</v>
      </c>
      <c r="X37" s="5">
        <v>0</v>
      </c>
      <c r="Y37" s="5">
        <v>116.17</v>
      </c>
    </row>
    <row r="38" spans="1:25" ht="24.75" x14ac:dyDescent="0.25">
      <c r="A38" s="5" t="s">
        <v>26</v>
      </c>
      <c r="B38" s="5" t="s">
        <v>27</v>
      </c>
      <c r="C38" s="5" t="s">
        <v>45</v>
      </c>
      <c r="D38" s="5" t="s">
        <v>73</v>
      </c>
      <c r="E38" s="5" t="s">
        <v>40</v>
      </c>
      <c r="F38" s="5" t="s">
        <v>108</v>
      </c>
      <c r="G38" s="5">
        <v>2019</v>
      </c>
      <c r="H38" s="5" t="str">
        <f>CONCATENATE("94240424310")</f>
        <v>94240424310</v>
      </c>
      <c r="I38" s="5" t="s">
        <v>29</v>
      </c>
      <c r="J38" s="5" t="s">
        <v>35</v>
      </c>
      <c r="K38" s="5" t="str">
        <f>CONCATENATE("")</f>
        <v/>
      </c>
      <c r="L38" s="5" t="str">
        <f>CONCATENATE("11 11.2 4b")</f>
        <v>11 11.2 4b</v>
      </c>
      <c r="M38" s="5" t="str">
        <f>CONCATENATE("SLTMCL67E20I459M")</f>
        <v>SLTMCL67E20I459M</v>
      </c>
      <c r="N38" s="5" t="s">
        <v>109</v>
      </c>
      <c r="O38" s="5" t="s">
        <v>49</v>
      </c>
      <c r="P38" s="6">
        <v>44046</v>
      </c>
      <c r="Q38" s="5" t="s">
        <v>30</v>
      </c>
      <c r="R38" s="5" t="s">
        <v>31</v>
      </c>
      <c r="S38" s="5" t="s">
        <v>32</v>
      </c>
      <c r="T38" s="5"/>
      <c r="U38" s="7">
        <v>1640.78</v>
      </c>
      <c r="V38" s="5">
        <v>707.5</v>
      </c>
      <c r="W38" s="5">
        <v>653.36</v>
      </c>
      <c r="X38" s="5">
        <v>0</v>
      </c>
      <c r="Y38" s="5">
        <v>279.92</v>
      </c>
    </row>
    <row r="39" spans="1:25" ht="24.75" x14ac:dyDescent="0.25">
      <c r="A39" s="5" t="s">
        <v>26</v>
      </c>
      <c r="B39" s="5" t="s">
        <v>27</v>
      </c>
      <c r="C39" s="5" t="s">
        <v>45</v>
      </c>
      <c r="D39" s="5" t="s">
        <v>73</v>
      </c>
      <c r="E39" s="5" t="s">
        <v>28</v>
      </c>
      <c r="F39" s="5" t="s">
        <v>110</v>
      </c>
      <c r="G39" s="5">
        <v>2019</v>
      </c>
      <c r="H39" s="5" t="str">
        <f>CONCATENATE("94240303720")</f>
        <v>94240303720</v>
      </c>
      <c r="I39" s="5" t="s">
        <v>29</v>
      </c>
      <c r="J39" s="5" t="s">
        <v>35</v>
      </c>
      <c r="K39" s="5" t="str">
        <f>CONCATENATE("")</f>
        <v/>
      </c>
      <c r="L39" s="5" t="str">
        <f>CONCATENATE("11 11.2 4b")</f>
        <v>11 11.2 4b</v>
      </c>
      <c r="M39" s="5" t="str">
        <f>CONCATENATE("00984410415")</f>
        <v>00984410415</v>
      </c>
      <c r="N39" s="5" t="s">
        <v>111</v>
      </c>
      <c r="O39" s="5" t="s">
        <v>49</v>
      </c>
      <c r="P39" s="6">
        <v>44046</v>
      </c>
      <c r="Q39" s="5" t="s">
        <v>30</v>
      </c>
      <c r="R39" s="5" t="s">
        <v>31</v>
      </c>
      <c r="S39" s="5" t="s">
        <v>32</v>
      </c>
      <c r="T39" s="5"/>
      <c r="U39" s="7">
        <v>6261.87</v>
      </c>
      <c r="V39" s="7">
        <v>2700.12</v>
      </c>
      <c r="W39" s="7">
        <v>2493.48</v>
      </c>
      <c r="X39" s="5">
        <v>0</v>
      </c>
      <c r="Y39" s="7">
        <v>1068.27</v>
      </c>
    </row>
    <row r="40" spans="1:25" ht="24.75" x14ac:dyDescent="0.25">
      <c r="A40" s="5" t="s">
        <v>26</v>
      </c>
      <c r="B40" s="5" t="s">
        <v>27</v>
      </c>
      <c r="C40" s="5" t="s">
        <v>45</v>
      </c>
      <c r="D40" s="5" t="s">
        <v>73</v>
      </c>
      <c r="E40" s="5" t="s">
        <v>28</v>
      </c>
      <c r="F40" s="5" t="s">
        <v>110</v>
      </c>
      <c r="G40" s="5">
        <v>2018</v>
      </c>
      <c r="H40" s="5" t="str">
        <f>CONCATENATE("84240494561")</f>
        <v>84240494561</v>
      </c>
      <c r="I40" s="5" t="s">
        <v>29</v>
      </c>
      <c r="J40" s="5" t="s">
        <v>35</v>
      </c>
      <c r="K40" s="5" t="str">
        <f>CONCATENATE("")</f>
        <v/>
      </c>
      <c r="L40" s="5" t="str">
        <f>CONCATENATE("11 11.2 4b")</f>
        <v>11 11.2 4b</v>
      </c>
      <c r="M40" s="5" t="str">
        <f>CONCATENATE("00984410415")</f>
        <v>00984410415</v>
      </c>
      <c r="N40" s="5" t="s">
        <v>111</v>
      </c>
      <c r="O40" s="5" t="s">
        <v>49</v>
      </c>
      <c r="P40" s="6">
        <v>44046</v>
      </c>
      <c r="Q40" s="5" t="s">
        <v>30</v>
      </c>
      <c r="R40" s="5" t="s">
        <v>31</v>
      </c>
      <c r="S40" s="5" t="s">
        <v>32</v>
      </c>
      <c r="T40" s="5"/>
      <c r="U40" s="7">
        <v>6663.87</v>
      </c>
      <c r="V40" s="7">
        <v>2873.46</v>
      </c>
      <c r="W40" s="7">
        <v>2653.55</v>
      </c>
      <c r="X40" s="5">
        <v>0</v>
      </c>
      <c r="Y40" s="7">
        <v>1136.8599999999999</v>
      </c>
    </row>
    <row r="41" spans="1:25" ht="24.75" x14ac:dyDescent="0.25">
      <c r="A41" s="5" t="s">
        <v>26</v>
      </c>
      <c r="B41" s="5" t="s">
        <v>27</v>
      </c>
      <c r="C41" s="5" t="s">
        <v>45</v>
      </c>
      <c r="D41" s="5" t="s">
        <v>73</v>
      </c>
      <c r="E41" s="5" t="s">
        <v>33</v>
      </c>
      <c r="F41" s="5" t="s">
        <v>76</v>
      </c>
      <c r="G41" s="5">
        <v>2019</v>
      </c>
      <c r="H41" s="5" t="str">
        <f>CONCATENATE("94240223902")</f>
        <v>94240223902</v>
      </c>
      <c r="I41" s="5" t="s">
        <v>29</v>
      </c>
      <c r="J41" s="5" t="s">
        <v>35</v>
      </c>
      <c r="K41" s="5" t="str">
        <f>CONCATENATE("")</f>
        <v/>
      </c>
      <c r="L41" s="5" t="str">
        <f>CONCATENATE("11 11.2 4b")</f>
        <v>11 11.2 4b</v>
      </c>
      <c r="M41" s="5" t="str">
        <f>CONCATENATE("01487790410")</f>
        <v>01487790410</v>
      </c>
      <c r="N41" s="5" t="s">
        <v>112</v>
      </c>
      <c r="O41" s="5" t="s">
        <v>49</v>
      </c>
      <c r="P41" s="6">
        <v>44046</v>
      </c>
      <c r="Q41" s="5" t="s">
        <v>30</v>
      </c>
      <c r="R41" s="5" t="s">
        <v>31</v>
      </c>
      <c r="S41" s="5" t="s">
        <v>32</v>
      </c>
      <c r="T41" s="5"/>
      <c r="U41" s="7">
        <v>1067.8</v>
      </c>
      <c r="V41" s="5">
        <v>460.44</v>
      </c>
      <c r="W41" s="5">
        <v>425.2</v>
      </c>
      <c r="X41" s="5">
        <v>0</v>
      </c>
      <c r="Y41" s="5">
        <v>182.16</v>
      </c>
    </row>
    <row r="42" spans="1:25" ht="24.75" x14ac:dyDescent="0.25">
      <c r="A42" s="5" t="s">
        <v>26</v>
      </c>
      <c r="B42" s="5" t="s">
        <v>27</v>
      </c>
      <c r="C42" s="5" t="s">
        <v>45</v>
      </c>
      <c r="D42" s="5" t="s">
        <v>73</v>
      </c>
      <c r="E42" s="5" t="s">
        <v>33</v>
      </c>
      <c r="F42" s="5" t="s">
        <v>76</v>
      </c>
      <c r="G42" s="5">
        <v>2019</v>
      </c>
      <c r="H42" s="5" t="str">
        <f>CONCATENATE("94240222300")</f>
        <v>94240222300</v>
      </c>
      <c r="I42" s="5" t="s">
        <v>29</v>
      </c>
      <c r="J42" s="5" t="s">
        <v>35</v>
      </c>
      <c r="K42" s="5" t="str">
        <f>CONCATENATE("")</f>
        <v/>
      </c>
      <c r="L42" s="5" t="str">
        <f>CONCATENATE("11 11.2 4b")</f>
        <v>11 11.2 4b</v>
      </c>
      <c r="M42" s="5" t="str">
        <f>CONCATENATE("01159570413")</f>
        <v>01159570413</v>
      </c>
      <c r="N42" s="5" t="s">
        <v>113</v>
      </c>
      <c r="O42" s="5" t="s">
        <v>49</v>
      </c>
      <c r="P42" s="6">
        <v>44046</v>
      </c>
      <c r="Q42" s="5" t="s">
        <v>30</v>
      </c>
      <c r="R42" s="5" t="s">
        <v>31</v>
      </c>
      <c r="S42" s="5" t="s">
        <v>32</v>
      </c>
      <c r="T42" s="5"/>
      <c r="U42" s="7">
        <v>1702.14</v>
      </c>
      <c r="V42" s="5">
        <v>733.96</v>
      </c>
      <c r="W42" s="5">
        <v>677.79</v>
      </c>
      <c r="X42" s="5">
        <v>0</v>
      </c>
      <c r="Y42" s="5">
        <v>290.39</v>
      </c>
    </row>
    <row r="43" spans="1:25" ht="24.75" x14ac:dyDescent="0.25">
      <c r="A43" s="5" t="s">
        <v>26</v>
      </c>
      <c r="B43" s="5" t="s">
        <v>27</v>
      </c>
      <c r="C43" s="5" t="s">
        <v>45</v>
      </c>
      <c r="D43" s="5" t="s">
        <v>73</v>
      </c>
      <c r="E43" s="5" t="s">
        <v>28</v>
      </c>
      <c r="F43" s="5" t="s">
        <v>78</v>
      </c>
      <c r="G43" s="5">
        <v>2019</v>
      </c>
      <c r="H43" s="5" t="str">
        <f>CONCATENATE("94240952369")</f>
        <v>94240952369</v>
      </c>
      <c r="I43" s="5" t="s">
        <v>29</v>
      </c>
      <c r="J43" s="5" t="s">
        <v>35</v>
      </c>
      <c r="K43" s="5" t="str">
        <f>CONCATENATE("")</f>
        <v/>
      </c>
      <c r="L43" s="5" t="str">
        <f>CONCATENATE("11 11.2 4b")</f>
        <v>11 11.2 4b</v>
      </c>
      <c r="M43" s="5" t="str">
        <f>CONCATENATE("MBRLBA64M46E351G")</f>
        <v>MBRLBA64M46E351G</v>
      </c>
      <c r="N43" s="5" t="s">
        <v>114</v>
      </c>
      <c r="O43" s="5" t="s">
        <v>49</v>
      </c>
      <c r="P43" s="6">
        <v>44046</v>
      </c>
      <c r="Q43" s="5" t="s">
        <v>30</v>
      </c>
      <c r="R43" s="5" t="s">
        <v>31</v>
      </c>
      <c r="S43" s="5" t="s">
        <v>32</v>
      </c>
      <c r="T43" s="5"/>
      <c r="U43" s="5">
        <v>990.56</v>
      </c>
      <c r="V43" s="5">
        <v>427.13</v>
      </c>
      <c r="W43" s="5">
        <v>394.44</v>
      </c>
      <c r="X43" s="5">
        <v>0</v>
      </c>
      <c r="Y43" s="5">
        <v>168.99</v>
      </c>
    </row>
    <row r="44" spans="1:25" ht="24.75" x14ac:dyDescent="0.25">
      <c r="A44" s="5" t="s">
        <v>26</v>
      </c>
      <c r="B44" s="5" t="s">
        <v>27</v>
      </c>
      <c r="C44" s="5" t="s">
        <v>45</v>
      </c>
      <c r="D44" s="5" t="s">
        <v>73</v>
      </c>
      <c r="E44" s="5" t="s">
        <v>28</v>
      </c>
      <c r="F44" s="5" t="s">
        <v>78</v>
      </c>
      <c r="G44" s="5">
        <v>2019</v>
      </c>
      <c r="H44" s="5" t="str">
        <f>CONCATENATE("94241697104")</f>
        <v>94241697104</v>
      </c>
      <c r="I44" s="5" t="s">
        <v>29</v>
      </c>
      <c r="J44" s="5" t="s">
        <v>35</v>
      </c>
      <c r="K44" s="5" t="str">
        <f>CONCATENATE("")</f>
        <v/>
      </c>
      <c r="L44" s="5" t="str">
        <f>CONCATENATE("11 11.2 4b")</f>
        <v>11 11.2 4b</v>
      </c>
      <c r="M44" s="5" t="str">
        <f>CONCATENATE("01337820417")</f>
        <v>01337820417</v>
      </c>
      <c r="N44" s="5" t="s">
        <v>115</v>
      </c>
      <c r="O44" s="5" t="s">
        <v>49</v>
      </c>
      <c r="P44" s="6">
        <v>44046</v>
      </c>
      <c r="Q44" s="5" t="s">
        <v>30</v>
      </c>
      <c r="R44" s="5" t="s">
        <v>31</v>
      </c>
      <c r="S44" s="5" t="s">
        <v>32</v>
      </c>
      <c r="T44" s="5"/>
      <c r="U44" s="7">
        <v>2796.59</v>
      </c>
      <c r="V44" s="7">
        <v>1205.8900000000001</v>
      </c>
      <c r="W44" s="7">
        <v>1113.5999999999999</v>
      </c>
      <c r="X44" s="5">
        <v>0</v>
      </c>
      <c r="Y44" s="5">
        <v>477.1</v>
      </c>
    </row>
    <row r="45" spans="1:25" ht="24.75" x14ac:dyDescent="0.25">
      <c r="A45" s="5" t="s">
        <v>26</v>
      </c>
      <c r="B45" s="5" t="s">
        <v>27</v>
      </c>
      <c r="C45" s="5" t="s">
        <v>45</v>
      </c>
      <c r="D45" s="5" t="s">
        <v>73</v>
      </c>
      <c r="E45" s="5" t="s">
        <v>33</v>
      </c>
      <c r="F45" s="5" t="s">
        <v>76</v>
      </c>
      <c r="G45" s="5">
        <v>2019</v>
      </c>
      <c r="H45" s="5" t="str">
        <f>CONCATENATE("94240788862")</f>
        <v>94240788862</v>
      </c>
      <c r="I45" s="5" t="s">
        <v>29</v>
      </c>
      <c r="J45" s="5" t="s">
        <v>35</v>
      </c>
      <c r="K45" s="5" t="str">
        <f>CONCATENATE("")</f>
        <v/>
      </c>
      <c r="L45" s="5" t="str">
        <f>CONCATENATE("11 11.1 4b")</f>
        <v>11 11.1 4b</v>
      </c>
      <c r="M45" s="5" t="str">
        <f>CONCATENATE("GRLPLA70D66F205T")</f>
        <v>GRLPLA70D66F205T</v>
      </c>
      <c r="N45" s="5" t="s">
        <v>116</v>
      </c>
      <c r="O45" s="5" t="s">
        <v>49</v>
      </c>
      <c r="P45" s="6">
        <v>44046</v>
      </c>
      <c r="Q45" s="5" t="s">
        <v>30</v>
      </c>
      <c r="R45" s="5" t="s">
        <v>31</v>
      </c>
      <c r="S45" s="5" t="s">
        <v>32</v>
      </c>
      <c r="T45" s="5"/>
      <c r="U45" s="5">
        <v>242.11</v>
      </c>
      <c r="V45" s="5">
        <v>104.4</v>
      </c>
      <c r="W45" s="5">
        <v>96.41</v>
      </c>
      <c r="X45" s="5">
        <v>0</v>
      </c>
      <c r="Y45" s="5">
        <v>41.3</v>
      </c>
    </row>
    <row r="46" spans="1:25" ht="24.75" x14ac:dyDescent="0.25">
      <c r="A46" s="5" t="s">
        <v>26</v>
      </c>
      <c r="B46" s="5" t="s">
        <v>27</v>
      </c>
      <c r="C46" s="5" t="s">
        <v>45</v>
      </c>
      <c r="D46" s="5" t="s">
        <v>73</v>
      </c>
      <c r="E46" s="5" t="s">
        <v>33</v>
      </c>
      <c r="F46" s="5" t="s">
        <v>117</v>
      </c>
      <c r="G46" s="5">
        <v>2019</v>
      </c>
      <c r="H46" s="5" t="str">
        <f>CONCATENATE("94240495773")</f>
        <v>94240495773</v>
      </c>
      <c r="I46" s="5" t="s">
        <v>29</v>
      </c>
      <c r="J46" s="5" t="s">
        <v>35</v>
      </c>
      <c r="K46" s="5" t="str">
        <f>CONCATENATE("")</f>
        <v/>
      </c>
      <c r="L46" s="5" t="str">
        <f>CONCATENATE("11 11.1 4b")</f>
        <v>11 11.1 4b</v>
      </c>
      <c r="M46" s="5" t="str">
        <f>CONCATENATE("GRSRNI56P17F136W")</f>
        <v>GRSRNI56P17F136W</v>
      </c>
      <c r="N46" s="5" t="s">
        <v>118</v>
      </c>
      <c r="O46" s="5" t="s">
        <v>49</v>
      </c>
      <c r="P46" s="6">
        <v>44046</v>
      </c>
      <c r="Q46" s="5" t="s">
        <v>30</v>
      </c>
      <c r="R46" s="5" t="s">
        <v>31</v>
      </c>
      <c r="S46" s="5" t="s">
        <v>32</v>
      </c>
      <c r="T46" s="5"/>
      <c r="U46" s="5">
        <v>585</v>
      </c>
      <c r="V46" s="5">
        <v>252.25</v>
      </c>
      <c r="W46" s="5">
        <v>232.95</v>
      </c>
      <c r="X46" s="5">
        <v>0</v>
      </c>
      <c r="Y46" s="5">
        <v>99.8</v>
      </c>
    </row>
    <row r="47" spans="1:25" ht="24.75" x14ac:dyDescent="0.25">
      <c r="A47" s="5" t="s">
        <v>26</v>
      </c>
      <c r="B47" s="5" t="s">
        <v>27</v>
      </c>
      <c r="C47" s="5" t="s">
        <v>45</v>
      </c>
      <c r="D47" s="5" t="s">
        <v>73</v>
      </c>
      <c r="E47" s="5" t="s">
        <v>28</v>
      </c>
      <c r="F47" s="5" t="s">
        <v>119</v>
      </c>
      <c r="G47" s="5">
        <v>2019</v>
      </c>
      <c r="H47" s="5" t="str">
        <f>CONCATENATE("94241692535")</f>
        <v>94241692535</v>
      </c>
      <c r="I47" s="5" t="s">
        <v>29</v>
      </c>
      <c r="J47" s="5" t="s">
        <v>35</v>
      </c>
      <c r="K47" s="5" t="str">
        <f>CONCATENATE("")</f>
        <v/>
      </c>
      <c r="L47" s="5" t="str">
        <f>CONCATENATE("11 11.2 4b")</f>
        <v>11 11.2 4b</v>
      </c>
      <c r="M47" s="5" t="str">
        <f>CONCATENATE("SRTMNL64B49G453B")</f>
        <v>SRTMNL64B49G453B</v>
      </c>
      <c r="N47" s="5" t="s">
        <v>120</v>
      </c>
      <c r="O47" s="5" t="s">
        <v>49</v>
      </c>
      <c r="P47" s="6">
        <v>44046</v>
      </c>
      <c r="Q47" s="5" t="s">
        <v>30</v>
      </c>
      <c r="R47" s="5" t="s">
        <v>31</v>
      </c>
      <c r="S47" s="5" t="s">
        <v>32</v>
      </c>
      <c r="T47" s="5"/>
      <c r="U47" s="5">
        <v>135.13999999999999</v>
      </c>
      <c r="V47" s="5">
        <v>58.27</v>
      </c>
      <c r="W47" s="5">
        <v>53.81</v>
      </c>
      <c r="X47" s="5">
        <v>0</v>
      </c>
      <c r="Y47" s="5">
        <v>23.06</v>
      </c>
    </row>
    <row r="48" spans="1:25" ht="24.75" x14ac:dyDescent="0.25">
      <c r="A48" s="5" t="s">
        <v>26</v>
      </c>
      <c r="B48" s="5" t="s">
        <v>27</v>
      </c>
      <c r="C48" s="5" t="s">
        <v>45</v>
      </c>
      <c r="D48" s="5" t="s">
        <v>73</v>
      </c>
      <c r="E48" s="5" t="s">
        <v>28</v>
      </c>
      <c r="F48" s="5" t="s">
        <v>74</v>
      </c>
      <c r="G48" s="5">
        <v>2019</v>
      </c>
      <c r="H48" s="5" t="str">
        <f>CONCATENATE("94240583883")</f>
        <v>94240583883</v>
      </c>
      <c r="I48" s="5" t="s">
        <v>29</v>
      </c>
      <c r="J48" s="5" t="s">
        <v>35</v>
      </c>
      <c r="K48" s="5" t="str">
        <f>CONCATENATE("")</f>
        <v/>
      </c>
      <c r="L48" s="5" t="str">
        <f>CONCATENATE("11 11.2 4b")</f>
        <v>11 11.2 4b</v>
      </c>
      <c r="M48" s="5" t="str">
        <f>CONCATENATE("00452350416")</f>
        <v>00452350416</v>
      </c>
      <c r="N48" s="5" t="s">
        <v>121</v>
      </c>
      <c r="O48" s="5" t="s">
        <v>49</v>
      </c>
      <c r="P48" s="6">
        <v>44046</v>
      </c>
      <c r="Q48" s="5" t="s">
        <v>30</v>
      </c>
      <c r="R48" s="5" t="s">
        <v>31</v>
      </c>
      <c r="S48" s="5" t="s">
        <v>32</v>
      </c>
      <c r="T48" s="5"/>
      <c r="U48" s="7">
        <v>1714.58</v>
      </c>
      <c r="V48" s="5">
        <v>739.33</v>
      </c>
      <c r="W48" s="5">
        <v>682.75</v>
      </c>
      <c r="X48" s="5">
        <v>0</v>
      </c>
      <c r="Y48" s="5">
        <v>292.5</v>
      </c>
    </row>
    <row r="49" spans="1:25" ht="24.75" x14ac:dyDescent="0.25">
      <c r="A49" s="5" t="s">
        <v>26</v>
      </c>
      <c r="B49" s="5" t="s">
        <v>27</v>
      </c>
      <c r="C49" s="5" t="s">
        <v>45</v>
      </c>
      <c r="D49" s="5" t="s">
        <v>73</v>
      </c>
      <c r="E49" s="5" t="s">
        <v>28</v>
      </c>
      <c r="F49" s="5" t="s">
        <v>110</v>
      </c>
      <c r="G49" s="5">
        <v>2019</v>
      </c>
      <c r="H49" s="5" t="str">
        <f>CONCATENATE("94240262017")</f>
        <v>94240262017</v>
      </c>
      <c r="I49" s="5" t="s">
        <v>29</v>
      </c>
      <c r="J49" s="5" t="s">
        <v>35</v>
      </c>
      <c r="K49" s="5" t="str">
        <f>CONCATENATE("")</f>
        <v/>
      </c>
      <c r="L49" s="5" t="str">
        <f>CONCATENATE("11 11.1 4b")</f>
        <v>11 11.1 4b</v>
      </c>
      <c r="M49" s="5" t="str">
        <f>CONCATENATE("00409240413")</f>
        <v>00409240413</v>
      </c>
      <c r="N49" s="5" t="s">
        <v>122</v>
      </c>
      <c r="O49" s="5" t="s">
        <v>49</v>
      </c>
      <c r="P49" s="6">
        <v>44046</v>
      </c>
      <c r="Q49" s="5" t="s">
        <v>30</v>
      </c>
      <c r="R49" s="5" t="s">
        <v>31</v>
      </c>
      <c r="S49" s="5" t="s">
        <v>32</v>
      </c>
      <c r="T49" s="5"/>
      <c r="U49" s="7">
        <v>1399.66</v>
      </c>
      <c r="V49" s="5">
        <v>603.53</v>
      </c>
      <c r="W49" s="5">
        <v>557.34</v>
      </c>
      <c r="X49" s="5">
        <v>0</v>
      </c>
      <c r="Y49" s="5">
        <v>238.79</v>
      </c>
    </row>
    <row r="50" spans="1:25" ht="24.75" x14ac:dyDescent="0.25">
      <c r="A50" s="5" t="s">
        <v>26</v>
      </c>
      <c r="B50" s="5" t="s">
        <v>27</v>
      </c>
      <c r="C50" s="5" t="s">
        <v>45</v>
      </c>
      <c r="D50" s="5" t="s">
        <v>73</v>
      </c>
      <c r="E50" s="5" t="s">
        <v>40</v>
      </c>
      <c r="F50" s="5" t="s">
        <v>86</v>
      </c>
      <c r="G50" s="5">
        <v>2019</v>
      </c>
      <c r="H50" s="5" t="str">
        <f>CONCATENATE("94240419948")</f>
        <v>94240419948</v>
      </c>
      <c r="I50" s="5" t="s">
        <v>29</v>
      </c>
      <c r="J50" s="5" t="s">
        <v>35</v>
      </c>
      <c r="K50" s="5" t="str">
        <f>CONCATENATE("")</f>
        <v/>
      </c>
      <c r="L50" s="5" t="str">
        <f>CONCATENATE("11 11.1 4b")</f>
        <v>11 11.1 4b</v>
      </c>
      <c r="M50" s="5" t="str">
        <f>CONCATENATE("02596540415")</f>
        <v>02596540415</v>
      </c>
      <c r="N50" s="5" t="s">
        <v>123</v>
      </c>
      <c r="O50" s="5" t="s">
        <v>49</v>
      </c>
      <c r="P50" s="6">
        <v>44046</v>
      </c>
      <c r="Q50" s="5" t="s">
        <v>30</v>
      </c>
      <c r="R50" s="5" t="s">
        <v>31</v>
      </c>
      <c r="S50" s="5" t="s">
        <v>32</v>
      </c>
      <c r="T50" s="5"/>
      <c r="U50" s="5">
        <v>142.58000000000001</v>
      </c>
      <c r="V50" s="5">
        <v>61.48</v>
      </c>
      <c r="W50" s="5">
        <v>56.78</v>
      </c>
      <c r="X50" s="5">
        <v>0</v>
      </c>
      <c r="Y50" s="5">
        <v>24.32</v>
      </c>
    </row>
    <row r="51" spans="1:25" ht="24.75" x14ac:dyDescent="0.25">
      <c r="A51" s="5" t="s">
        <v>26</v>
      </c>
      <c r="B51" s="5" t="s">
        <v>27</v>
      </c>
      <c r="C51" s="5" t="s">
        <v>45</v>
      </c>
      <c r="D51" s="5" t="s">
        <v>73</v>
      </c>
      <c r="E51" s="5" t="s">
        <v>44</v>
      </c>
      <c r="F51" s="5" t="s">
        <v>44</v>
      </c>
      <c r="G51" s="5">
        <v>2019</v>
      </c>
      <c r="H51" s="5" t="str">
        <f>CONCATENATE("94241011520")</f>
        <v>94241011520</v>
      </c>
      <c r="I51" s="5" t="s">
        <v>29</v>
      </c>
      <c r="J51" s="5" t="s">
        <v>35</v>
      </c>
      <c r="K51" s="5" t="str">
        <f>CONCATENATE("")</f>
        <v/>
      </c>
      <c r="L51" s="5" t="str">
        <f>CONCATENATE("11 11.2 4b")</f>
        <v>11 11.2 4b</v>
      </c>
      <c r="M51" s="5" t="str">
        <f>CONCATENATE("TBCNNL64B58G224Z")</f>
        <v>TBCNNL64B58G224Z</v>
      </c>
      <c r="N51" s="5" t="s">
        <v>124</v>
      </c>
      <c r="O51" s="5" t="s">
        <v>49</v>
      </c>
      <c r="P51" s="6">
        <v>44046</v>
      </c>
      <c r="Q51" s="5" t="s">
        <v>30</v>
      </c>
      <c r="R51" s="5" t="s">
        <v>31</v>
      </c>
      <c r="S51" s="5" t="s">
        <v>32</v>
      </c>
      <c r="T51" s="5"/>
      <c r="U51" s="7">
        <v>5929.02</v>
      </c>
      <c r="V51" s="7">
        <v>2556.59</v>
      </c>
      <c r="W51" s="7">
        <v>2360.94</v>
      </c>
      <c r="X51" s="5">
        <v>0</v>
      </c>
      <c r="Y51" s="7">
        <v>1011.49</v>
      </c>
    </row>
    <row r="52" spans="1:25" ht="24.75" x14ac:dyDescent="0.25">
      <c r="A52" s="5" t="s">
        <v>26</v>
      </c>
      <c r="B52" s="5" t="s">
        <v>27</v>
      </c>
      <c r="C52" s="5" t="s">
        <v>45</v>
      </c>
      <c r="D52" s="5" t="s">
        <v>73</v>
      </c>
      <c r="E52" s="5" t="s">
        <v>33</v>
      </c>
      <c r="F52" s="5" t="s">
        <v>84</v>
      </c>
      <c r="G52" s="5">
        <v>2019</v>
      </c>
      <c r="H52" s="5" t="str">
        <f>CONCATENATE("94240932759")</f>
        <v>94240932759</v>
      </c>
      <c r="I52" s="5" t="s">
        <v>29</v>
      </c>
      <c r="J52" s="5" t="s">
        <v>35</v>
      </c>
      <c r="K52" s="5" t="str">
        <f>CONCATENATE("")</f>
        <v/>
      </c>
      <c r="L52" s="5" t="str">
        <f>CONCATENATE("11 11.2 4b")</f>
        <v>11 11.2 4b</v>
      </c>
      <c r="M52" s="5" t="str">
        <f>CONCATENATE("ZLTRSL57M62D157G")</f>
        <v>ZLTRSL57M62D157G</v>
      </c>
      <c r="N52" s="5" t="s">
        <v>125</v>
      </c>
      <c r="O52" s="5" t="s">
        <v>49</v>
      </c>
      <c r="P52" s="6">
        <v>44046</v>
      </c>
      <c r="Q52" s="5" t="s">
        <v>30</v>
      </c>
      <c r="R52" s="5" t="s">
        <v>31</v>
      </c>
      <c r="S52" s="5" t="s">
        <v>32</v>
      </c>
      <c r="T52" s="5"/>
      <c r="U52" s="5">
        <v>179.63</v>
      </c>
      <c r="V52" s="5">
        <v>77.459999999999994</v>
      </c>
      <c r="W52" s="5">
        <v>71.53</v>
      </c>
      <c r="X52" s="5">
        <v>0</v>
      </c>
      <c r="Y52" s="5">
        <v>30.64</v>
      </c>
    </row>
    <row r="53" spans="1:25" ht="24.75" x14ac:dyDescent="0.25">
      <c r="A53" s="5" t="s">
        <v>26</v>
      </c>
      <c r="B53" s="5" t="s">
        <v>27</v>
      </c>
      <c r="C53" s="5" t="s">
        <v>45</v>
      </c>
      <c r="D53" s="5" t="s">
        <v>73</v>
      </c>
      <c r="E53" s="5" t="s">
        <v>33</v>
      </c>
      <c r="F53" s="5" t="s">
        <v>76</v>
      </c>
      <c r="G53" s="5">
        <v>2019</v>
      </c>
      <c r="H53" s="5" t="str">
        <f>CONCATENATE("94240666977")</f>
        <v>94240666977</v>
      </c>
      <c r="I53" s="5" t="s">
        <v>29</v>
      </c>
      <c r="J53" s="5" t="s">
        <v>35</v>
      </c>
      <c r="K53" s="5" t="str">
        <f>CONCATENATE("")</f>
        <v/>
      </c>
      <c r="L53" s="5" t="str">
        <f>CONCATENATE("11 11.2 4b")</f>
        <v>11 11.2 4b</v>
      </c>
      <c r="M53" s="5" t="str">
        <f>CONCATENATE("02393300419")</f>
        <v>02393300419</v>
      </c>
      <c r="N53" s="5" t="s">
        <v>126</v>
      </c>
      <c r="O53" s="5" t="s">
        <v>49</v>
      </c>
      <c r="P53" s="6">
        <v>44046</v>
      </c>
      <c r="Q53" s="5" t="s">
        <v>30</v>
      </c>
      <c r="R53" s="5" t="s">
        <v>31</v>
      </c>
      <c r="S53" s="5" t="s">
        <v>32</v>
      </c>
      <c r="T53" s="5"/>
      <c r="U53" s="5">
        <v>374.29</v>
      </c>
      <c r="V53" s="5">
        <v>161.38999999999999</v>
      </c>
      <c r="W53" s="5">
        <v>149.04</v>
      </c>
      <c r="X53" s="5">
        <v>0</v>
      </c>
      <c r="Y53" s="5">
        <v>63.86</v>
      </c>
    </row>
    <row r="54" spans="1:25" ht="24.75" x14ac:dyDescent="0.25">
      <c r="A54" s="5" t="s">
        <v>26</v>
      </c>
      <c r="B54" s="5" t="s">
        <v>27</v>
      </c>
      <c r="C54" s="5" t="s">
        <v>45</v>
      </c>
      <c r="D54" s="5" t="s">
        <v>52</v>
      </c>
      <c r="E54" s="5" t="s">
        <v>44</v>
      </c>
      <c r="F54" s="5" t="s">
        <v>44</v>
      </c>
      <c r="G54" s="5">
        <v>2017</v>
      </c>
      <c r="H54" s="5" t="str">
        <f>CONCATENATE("74240113758")</f>
        <v>74240113758</v>
      </c>
      <c r="I54" s="5" t="s">
        <v>29</v>
      </c>
      <c r="J54" s="5" t="s">
        <v>35</v>
      </c>
      <c r="K54" s="5" t="str">
        <f>CONCATENATE("")</f>
        <v/>
      </c>
      <c r="L54" s="5" t="str">
        <f>CONCATENATE("11 11.2 4b")</f>
        <v>11 11.2 4b</v>
      </c>
      <c r="M54" s="5" t="str">
        <f>CONCATENATE("CPNMRZ75H09H769O")</f>
        <v>CPNMRZ75H09H769O</v>
      </c>
      <c r="N54" s="5" t="s">
        <v>127</v>
      </c>
      <c r="O54" s="5" t="s">
        <v>49</v>
      </c>
      <c r="P54" s="6">
        <v>44046</v>
      </c>
      <c r="Q54" s="5" t="s">
        <v>30</v>
      </c>
      <c r="R54" s="5" t="s">
        <v>31</v>
      </c>
      <c r="S54" s="5" t="s">
        <v>32</v>
      </c>
      <c r="T54" s="5"/>
      <c r="U54" s="7">
        <v>1012.4</v>
      </c>
      <c r="V54" s="5">
        <v>436.55</v>
      </c>
      <c r="W54" s="5">
        <v>403.14</v>
      </c>
      <c r="X54" s="5">
        <v>0</v>
      </c>
      <c r="Y54" s="5">
        <v>172.71</v>
      </c>
    </row>
    <row r="55" spans="1:25" ht="24.75" x14ac:dyDescent="0.25">
      <c r="A55" s="5" t="s">
        <v>26</v>
      </c>
      <c r="B55" s="5" t="s">
        <v>27</v>
      </c>
      <c r="C55" s="5" t="s">
        <v>45</v>
      </c>
      <c r="D55" s="5" t="s">
        <v>52</v>
      </c>
      <c r="E55" s="5" t="s">
        <v>44</v>
      </c>
      <c r="F55" s="5" t="s">
        <v>44</v>
      </c>
      <c r="G55" s="5">
        <v>2018</v>
      </c>
      <c r="H55" s="5" t="str">
        <f>CONCATENATE("84241059561")</f>
        <v>84241059561</v>
      </c>
      <c r="I55" s="5" t="s">
        <v>34</v>
      </c>
      <c r="J55" s="5" t="s">
        <v>35</v>
      </c>
      <c r="K55" s="5" t="str">
        <f>CONCATENATE("")</f>
        <v/>
      </c>
      <c r="L55" s="5" t="str">
        <f>CONCATENATE("11 11.2 4b")</f>
        <v>11 11.2 4b</v>
      </c>
      <c r="M55" s="5" t="str">
        <f>CONCATENATE("CPNMRZ75H09H769O")</f>
        <v>CPNMRZ75H09H769O</v>
      </c>
      <c r="N55" s="5" t="s">
        <v>127</v>
      </c>
      <c r="O55" s="5" t="s">
        <v>49</v>
      </c>
      <c r="P55" s="6">
        <v>44046</v>
      </c>
      <c r="Q55" s="5" t="s">
        <v>30</v>
      </c>
      <c r="R55" s="5" t="s">
        <v>31</v>
      </c>
      <c r="S55" s="5" t="s">
        <v>32</v>
      </c>
      <c r="T55" s="5"/>
      <c r="U55" s="7">
        <v>1012.4</v>
      </c>
      <c r="V55" s="5">
        <v>436.55</v>
      </c>
      <c r="W55" s="5">
        <v>403.14</v>
      </c>
      <c r="X55" s="5">
        <v>0</v>
      </c>
      <c r="Y55" s="5">
        <v>172.71</v>
      </c>
    </row>
    <row r="56" spans="1:25" ht="24.75" x14ac:dyDescent="0.25">
      <c r="A56" s="5" t="s">
        <v>26</v>
      </c>
      <c r="B56" s="5" t="s">
        <v>27</v>
      </c>
      <c r="C56" s="5" t="s">
        <v>45</v>
      </c>
      <c r="D56" s="5" t="s">
        <v>52</v>
      </c>
      <c r="E56" s="5" t="s">
        <v>44</v>
      </c>
      <c r="F56" s="5" t="s">
        <v>44</v>
      </c>
      <c r="G56" s="5">
        <v>2019</v>
      </c>
      <c r="H56" s="5" t="str">
        <f>CONCATENATE("94240101504")</f>
        <v>94240101504</v>
      </c>
      <c r="I56" s="5" t="s">
        <v>29</v>
      </c>
      <c r="J56" s="5" t="s">
        <v>35</v>
      </c>
      <c r="K56" s="5" t="str">
        <f>CONCATENATE("")</f>
        <v/>
      </c>
      <c r="L56" s="5" t="str">
        <f>CONCATENATE("11 11.2 4b")</f>
        <v>11 11.2 4b</v>
      </c>
      <c r="M56" s="5" t="str">
        <f>CONCATENATE("CPNMRZ75H09H769O")</f>
        <v>CPNMRZ75H09H769O</v>
      </c>
      <c r="N56" s="5" t="s">
        <v>127</v>
      </c>
      <c r="O56" s="5" t="s">
        <v>49</v>
      </c>
      <c r="P56" s="6">
        <v>44046</v>
      </c>
      <c r="Q56" s="5" t="s">
        <v>30</v>
      </c>
      <c r="R56" s="5" t="s">
        <v>31</v>
      </c>
      <c r="S56" s="5" t="s">
        <v>32</v>
      </c>
      <c r="T56" s="5"/>
      <c r="U56" s="7">
        <v>1021.57</v>
      </c>
      <c r="V56" s="5">
        <v>440.5</v>
      </c>
      <c r="W56" s="5">
        <v>406.79</v>
      </c>
      <c r="X56" s="5">
        <v>0</v>
      </c>
      <c r="Y56" s="5">
        <v>174.28</v>
      </c>
    </row>
    <row r="57" spans="1:25" ht="24.75" x14ac:dyDescent="0.25">
      <c r="A57" s="5" t="s">
        <v>26</v>
      </c>
      <c r="B57" s="5" t="s">
        <v>27</v>
      </c>
      <c r="C57" s="5" t="s">
        <v>45</v>
      </c>
      <c r="D57" s="5" t="s">
        <v>73</v>
      </c>
      <c r="E57" s="5" t="s">
        <v>28</v>
      </c>
      <c r="F57" s="5" t="s">
        <v>119</v>
      </c>
      <c r="G57" s="5">
        <v>2019</v>
      </c>
      <c r="H57" s="5" t="str">
        <f>CONCATENATE("94240949878")</f>
        <v>94240949878</v>
      </c>
      <c r="I57" s="5" t="s">
        <v>29</v>
      </c>
      <c r="J57" s="5" t="s">
        <v>35</v>
      </c>
      <c r="K57" s="5" t="str">
        <f>CONCATENATE("")</f>
        <v/>
      </c>
      <c r="L57" s="5" t="str">
        <f>CONCATENATE("11 11.2 4b")</f>
        <v>11 11.2 4b</v>
      </c>
      <c r="M57" s="5" t="str">
        <f>CONCATENATE("02014880419")</f>
        <v>02014880419</v>
      </c>
      <c r="N57" s="5" t="s">
        <v>128</v>
      </c>
      <c r="O57" s="5" t="s">
        <v>49</v>
      </c>
      <c r="P57" s="6">
        <v>44046</v>
      </c>
      <c r="Q57" s="5" t="s">
        <v>30</v>
      </c>
      <c r="R57" s="5" t="s">
        <v>31</v>
      </c>
      <c r="S57" s="5" t="s">
        <v>32</v>
      </c>
      <c r="T57" s="5"/>
      <c r="U57" s="5">
        <v>431.93</v>
      </c>
      <c r="V57" s="5">
        <v>186.25</v>
      </c>
      <c r="W57" s="5">
        <v>171.99</v>
      </c>
      <c r="X57" s="5">
        <v>0</v>
      </c>
      <c r="Y57" s="5">
        <v>73.69</v>
      </c>
    </row>
    <row r="58" spans="1:25" x14ac:dyDescent="0.25">
      <c r="A58" s="5" t="s">
        <v>26</v>
      </c>
      <c r="B58" s="5" t="s">
        <v>27</v>
      </c>
      <c r="C58" s="5" t="s">
        <v>45</v>
      </c>
      <c r="D58" s="5" t="s">
        <v>46</v>
      </c>
      <c r="E58" s="5" t="s">
        <v>40</v>
      </c>
      <c r="F58" s="5" t="s">
        <v>129</v>
      </c>
      <c r="G58" s="5">
        <v>2019</v>
      </c>
      <c r="H58" s="5" t="str">
        <f>CONCATENATE("94241154403")</f>
        <v>94241154403</v>
      </c>
      <c r="I58" s="5" t="s">
        <v>34</v>
      </c>
      <c r="J58" s="5" t="s">
        <v>35</v>
      </c>
      <c r="K58" s="5" t="str">
        <f>CONCATENATE("")</f>
        <v/>
      </c>
      <c r="L58" s="5" t="str">
        <f>CONCATENATE("11 11.2 4b")</f>
        <v>11 11.2 4b</v>
      </c>
      <c r="M58" s="5" t="str">
        <f>CONCATENATE("BTSDBR47H06C267Z")</f>
        <v>BTSDBR47H06C267Z</v>
      </c>
      <c r="N58" s="5" t="s">
        <v>130</v>
      </c>
      <c r="O58" s="5" t="s">
        <v>49</v>
      </c>
      <c r="P58" s="6">
        <v>44046</v>
      </c>
      <c r="Q58" s="5" t="s">
        <v>30</v>
      </c>
      <c r="R58" s="5" t="s">
        <v>31</v>
      </c>
      <c r="S58" s="5" t="s">
        <v>32</v>
      </c>
      <c r="T58" s="5"/>
      <c r="U58" s="7">
        <v>9401.48</v>
      </c>
      <c r="V58" s="7">
        <v>4053.92</v>
      </c>
      <c r="W58" s="7">
        <v>3743.67</v>
      </c>
      <c r="X58" s="5">
        <v>0</v>
      </c>
      <c r="Y58" s="7">
        <v>1603.89</v>
      </c>
    </row>
    <row r="59" spans="1:25" ht="24.75" x14ac:dyDescent="0.25">
      <c r="A59" s="5" t="s">
        <v>26</v>
      </c>
      <c r="B59" s="5" t="s">
        <v>42</v>
      </c>
      <c r="C59" s="5" t="s">
        <v>45</v>
      </c>
      <c r="D59" s="5" t="s">
        <v>62</v>
      </c>
      <c r="E59" s="5" t="s">
        <v>44</v>
      </c>
      <c r="F59" s="5" t="s">
        <v>44</v>
      </c>
      <c r="G59" s="5">
        <v>2017</v>
      </c>
      <c r="H59" s="5" t="str">
        <f>CONCATENATE("04270086293")</f>
        <v>04270086293</v>
      </c>
      <c r="I59" s="5" t="s">
        <v>29</v>
      </c>
      <c r="J59" s="5" t="s">
        <v>35</v>
      </c>
      <c r="K59" s="5" t="str">
        <f>CONCATENATE("")</f>
        <v/>
      </c>
      <c r="L59" s="5" t="str">
        <f>CONCATENATE("20 20.1 ")</f>
        <v xml:space="preserve">20 20.1 </v>
      </c>
      <c r="M59" s="5" t="str">
        <f>CONCATENATE("80008630420")</f>
        <v>80008630420</v>
      </c>
      <c r="N59" s="5" t="s">
        <v>131</v>
      </c>
      <c r="O59" s="5" t="s">
        <v>132</v>
      </c>
      <c r="P59" s="6">
        <v>44042</v>
      </c>
      <c r="Q59" s="5" t="s">
        <v>30</v>
      </c>
      <c r="R59" s="5" t="s">
        <v>43</v>
      </c>
      <c r="S59" s="5" t="s">
        <v>32</v>
      </c>
      <c r="T59" s="5"/>
      <c r="U59" s="7">
        <v>176321.35</v>
      </c>
      <c r="V59" s="7">
        <v>76029.77</v>
      </c>
      <c r="W59" s="7">
        <v>70211.16</v>
      </c>
      <c r="X59" s="5">
        <v>0</v>
      </c>
      <c r="Y59" s="7">
        <v>30080.42</v>
      </c>
    </row>
    <row r="60" spans="1:25" ht="24.75" x14ac:dyDescent="0.25">
      <c r="A60" s="5" t="s">
        <v>26</v>
      </c>
      <c r="B60" s="5" t="s">
        <v>42</v>
      </c>
      <c r="C60" s="5" t="s">
        <v>45</v>
      </c>
      <c r="D60" s="5" t="s">
        <v>62</v>
      </c>
      <c r="E60" s="5" t="s">
        <v>44</v>
      </c>
      <c r="F60" s="5" t="s">
        <v>44</v>
      </c>
      <c r="G60" s="5">
        <v>2017</v>
      </c>
      <c r="H60" s="5" t="str">
        <f>CONCATENATE("04270086301")</f>
        <v>04270086301</v>
      </c>
      <c r="I60" s="5" t="s">
        <v>29</v>
      </c>
      <c r="J60" s="5" t="s">
        <v>35</v>
      </c>
      <c r="K60" s="5" t="str">
        <f>CONCATENATE("")</f>
        <v/>
      </c>
      <c r="L60" s="5" t="str">
        <f>CONCATENATE("20 20.1 ")</f>
        <v xml:space="preserve">20 20.1 </v>
      </c>
      <c r="M60" s="5" t="str">
        <f>CONCATENATE("80008630420")</f>
        <v>80008630420</v>
      </c>
      <c r="N60" s="5" t="s">
        <v>131</v>
      </c>
      <c r="O60" s="5" t="s">
        <v>132</v>
      </c>
      <c r="P60" s="6">
        <v>44042</v>
      </c>
      <c r="Q60" s="5" t="s">
        <v>30</v>
      </c>
      <c r="R60" s="5" t="s">
        <v>43</v>
      </c>
      <c r="S60" s="5" t="s">
        <v>32</v>
      </c>
      <c r="T60" s="5"/>
      <c r="U60" s="7">
        <v>221390.28</v>
      </c>
      <c r="V60" s="7">
        <v>95463.49</v>
      </c>
      <c r="W60" s="7">
        <v>88157.61</v>
      </c>
      <c r="X60" s="5">
        <v>0</v>
      </c>
      <c r="Y60" s="7">
        <v>37769.18</v>
      </c>
    </row>
    <row r="61" spans="1:25" ht="24.75" x14ac:dyDescent="0.25">
      <c r="A61" s="5" t="s">
        <v>26</v>
      </c>
      <c r="B61" s="5" t="s">
        <v>27</v>
      </c>
      <c r="C61" s="5" t="s">
        <v>45</v>
      </c>
      <c r="D61" s="5" t="s">
        <v>73</v>
      </c>
      <c r="E61" s="5" t="s">
        <v>28</v>
      </c>
      <c r="F61" s="5" t="s">
        <v>78</v>
      </c>
      <c r="G61" s="5">
        <v>2019</v>
      </c>
      <c r="H61" s="5" t="str">
        <f>CONCATENATE("94240512171")</f>
        <v>94240512171</v>
      </c>
      <c r="I61" s="5" t="s">
        <v>29</v>
      </c>
      <c r="J61" s="5" t="s">
        <v>35</v>
      </c>
      <c r="K61" s="5" t="str">
        <f>CONCATENATE("")</f>
        <v/>
      </c>
      <c r="L61" s="5" t="str">
        <f>CONCATENATE("11 11.2 4b")</f>
        <v>11 11.2 4b</v>
      </c>
      <c r="M61" s="5" t="str">
        <f>CONCATENATE("02276370414")</f>
        <v>02276370414</v>
      </c>
      <c r="N61" s="5" t="s">
        <v>133</v>
      </c>
      <c r="O61" s="5" t="s">
        <v>49</v>
      </c>
      <c r="P61" s="6">
        <v>44046</v>
      </c>
      <c r="Q61" s="5" t="s">
        <v>30</v>
      </c>
      <c r="R61" s="5" t="s">
        <v>31</v>
      </c>
      <c r="S61" s="5" t="s">
        <v>32</v>
      </c>
      <c r="T61" s="5"/>
      <c r="U61" s="7">
        <v>1024</v>
      </c>
      <c r="V61" s="5">
        <v>441.55</v>
      </c>
      <c r="W61" s="5">
        <v>407.76</v>
      </c>
      <c r="X61" s="5">
        <v>0</v>
      </c>
      <c r="Y61" s="5">
        <v>174.69</v>
      </c>
    </row>
    <row r="62" spans="1:25" ht="24.75" x14ac:dyDescent="0.25">
      <c r="A62" s="5" t="s">
        <v>26</v>
      </c>
      <c r="B62" s="5" t="s">
        <v>27</v>
      </c>
      <c r="C62" s="5" t="s">
        <v>45</v>
      </c>
      <c r="D62" s="5" t="s">
        <v>52</v>
      </c>
      <c r="E62" s="5" t="s">
        <v>33</v>
      </c>
      <c r="F62" s="5" t="s">
        <v>134</v>
      </c>
      <c r="G62" s="5">
        <v>2018</v>
      </c>
      <c r="H62" s="5" t="str">
        <f>CONCATENATE("84240708614")</f>
        <v>84240708614</v>
      </c>
      <c r="I62" s="5" t="s">
        <v>29</v>
      </c>
      <c r="J62" s="5" t="s">
        <v>35</v>
      </c>
      <c r="K62" s="5" t="str">
        <f>CONCATENATE("")</f>
        <v/>
      </c>
      <c r="L62" s="5" t="str">
        <f>CONCATENATE("10 10.1 4a")</f>
        <v>10 10.1 4a</v>
      </c>
      <c r="M62" s="5" t="str">
        <f>CONCATENATE("02164470441")</f>
        <v>02164470441</v>
      </c>
      <c r="N62" s="5" t="s">
        <v>135</v>
      </c>
      <c r="O62" s="5" t="s">
        <v>59</v>
      </c>
      <c r="P62" s="6">
        <v>44046</v>
      </c>
      <c r="Q62" s="5" t="s">
        <v>30</v>
      </c>
      <c r="R62" s="5" t="s">
        <v>31</v>
      </c>
      <c r="S62" s="5" t="s">
        <v>32</v>
      </c>
      <c r="T62" s="5"/>
      <c r="U62" s="7">
        <v>5146.4399999999996</v>
      </c>
      <c r="V62" s="7">
        <v>2219.14</v>
      </c>
      <c r="W62" s="7">
        <v>2049.31</v>
      </c>
      <c r="X62" s="5">
        <v>0</v>
      </c>
      <c r="Y62" s="5">
        <v>877.99</v>
      </c>
    </row>
    <row r="63" spans="1:25" ht="24.75" x14ac:dyDescent="0.25">
      <c r="A63" s="5" t="s">
        <v>26</v>
      </c>
      <c r="B63" s="5" t="s">
        <v>27</v>
      </c>
      <c r="C63" s="5" t="s">
        <v>45</v>
      </c>
      <c r="D63" s="5" t="s">
        <v>52</v>
      </c>
      <c r="E63" s="5" t="s">
        <v>33</v>
      </c>
      <c r="F63" s="5" t="s">
        <v>134</v>
      </c>
      <c r="G63" s="5">
        <v>2019</v>
      </c>
      <c r="H63" s="5" t="str">
        <f>CONCATENATE("94240605330")</f>
        <v>94240605330</v>
      </c>
      <c r="I63" s="5" t="s">
        <v>29</v>
      </c>
      <c r="J63" s="5" t="s">
        <v>35</v>
      </c>
      <c r="K63" s="5" t="str">
        <f>CONCATENATE("")</f>
        <v/>
      </c>
      <c r="L63" s="5" t="str">
        <f>CONCATENATE("10 10.1 4a")</f>
        <v>10 10.1 4a</v>
      </c>
      <c r="M63" s="5" t="str">
        <f>CONCATENATE("02164470441")</f>
        <v>02164470441</v>
      </c>
      <c r="N63" s="5" t="s">
        <v>135</v>
      </c>
      <c r="O63" s="5" t="s">
        <v>59</v>
      </c>
      <c r="P63" s="6">
        <v>44046</v>
      </c>
      <c r="Q63" s="5" t="s">
        <v>30</v>
      </c>
      <c r="R63" s="5" t="s">
        <v>31</v>
      </c>
      <c r="S63" s="5" t="s">
        <v>32</v>
      </c>
      <c r="T63" s="5"/>
      <c r="U63" s="7">
        <v>5018.92</v>
      </c>
      <c r="V63" s="7">
        <v>2164.16</v>
      </c>
      <c r="W63" s="7">
        <v>1998.53</v>
      </c>
      <c r="X63" s="5">
        <v>0</v>
      </c>
      <c r="Y63" s="5">
        <v>856.23</v>
      </c>
    </row>
    <row r="64" spans="1:25" ht="24.75" x14ac:dyDescent="0.25">
      <c r="A64" s="5" t="s">
        <v>26</v>
      </c>
      <c r="B64" s="5" t="s">
        <v>27</v>
      </c>
      <c r="C64" s="5" t="s">
        <v>45</v>
      </c>
      <c r="D64" s="5" t="s">
        <v>52</v>
      </c>
      <c r="E64" s="5" t="s">
        <v>33</v>
      </c>
      <c r="F64" s="5" t="s">
        <v>67</v>
      </c>
      <c r="G64" s="5">
        <v>2019</v>
      </c>
      <c r="H64" s="5" t="str">
        <f>CONCATENATE("94240647969")</f>
        <v>94240647969</v>
      </c>
      <c r="I64" s="5" t="s">
        <v>29</v>
      </c>
      <c r="J64" s="5" t="s">
        <v>35</v>
      </c>
      <c r="K64" s="5" t="str">
        <f>CONCATENATE("")</f>
        <v/>
      </c>
      <c r="L64" s="5" t="str">
        <f>CONCATENATE("10 10.1 4a")</f>
        <v>10 10.1 4a</v>
      </c>
      <c r="M64" s="5" t="str">
        <f>CONCATENATE("VGNLLN61M50Z110B")</f>
        <v>VGNLLN61M50Z110B</v>
      </c>
      <c r="N64" s="5" t="s">
        <v>136</v>
      </c>
      <c r="O64" s="5" t="s">
        <v>59</v>
      </c>
      <c r="P64" s="6">
        <v>44046</v>
      </c>
      <c r="Q64" s="5" t="s">
        <v>30</v>
      </c>
      <c r="R64" s="5" t="s">
        <v>31</v>
      </c>
      <c r="S64" s="5" t="s">
        <v>32</v>
      </c>
      <c r="T64" s="5"/>
      <c r="U64" s="7">
        <v>2511</v>
      </c>
      <c r="V64" s="7">
        <v>1082.74</v>
      </c>
      <c r="W64" s="5">
        <v>999.88</v>
      </c>
      <c r="X64" s="5">
        <v>0</v>
      </c>
      <c r="Y64" s="5">
        <v>428.38</v>
      </c>
    </row>
    <row r="65" spans="1:25" ht="24.75" x14ac:dyDescent="0.25">
      <c r="A65" s="5" t="s">
        <v>26</v>
      </c>
      <c r="B65" s="5" t="s">
        <v>27</v>
      </c>
      <c r="C65" s="5" t="s">
        <v>45</v>
      </c>
      <c r="D65" s="5" t="s">
        <v>73</v>
      </c>
      <c r="E65" s="5" t="s">
        <v>28</v>
      </c>
      <c r="F65" s="5" t="s">
        <v>78</v>
      </c>
      <c r="G65" s="5">
        <v>2019</v>
      </c>
      <c r="H65" s="5" t="str">
        <f>CONCATENATE("94240499445")</f>
        <v>94240499445</v>
      </c>
      <c r="I65" s="5" t="s">
        <v>29</v>
      </c>
      <c r="J65" s="5" t="s">
        <v>35</v>
      </c>
      <c r="K65" s="5" t="str">
        <f>CONCATENATE("")</f>
        <v/>
      </c>
      <c r="L65" s="5" t="str">
        <f>CONCATENATE("11 11.1 4b")</f>
        <v>11 11.1 4b</v>
      </c>
      <c r="M65" s="5" t="str">
        <f>CONCATENATE("GRRNDR79A29I287J")</f>
        <v>GRRNDR79A29I287J</v>
      </c>
      <c r="N65" s="5" t="s">
        <v>137</v>
      </c>
      <c r="O65" s="5" t="s">
        <v>49</v>
      </c>
      <c r="P65" s="6">
        <v>44046</v>
      </c>
      <c r="Q65" s="5" t="s">
        <v>30</v>
      </c>
      <c r="R65" s="5" t="s">
        <v>31</v>
      </c>
      <c r="S65" s="5" t="s">
        <v>32</v>
      </c>
      <c r="T65" s="5"/>
      <c r="U65" s="5">
        <v>444.24</v>
      </c>
      <c r="V65" s="5">
        <v>191.56</v>
      </c>
      <c r="W65" s="5">
        <v>176.9</v>
      </c>
      <c r="X65" s="5">
        <v>0</v>
      </c>
      <c r="Y65" s="5">
        <v>75.78</v>
      </c>
    </row>
    <row r="66" spans="1:25" x14ac:dyDescent="0.25">
      <c r="A66" s="5" t="s">
        <v>26</v>
      </c>
      <c r="B66" s="5" t="s">
        <v>27</v>
      </c>
      <c r="C66" s="5" t="s">
        <v>45</v>
      </c>
      <c r="D66" s="5" t="s">
        <v>46</v>
      </c>
      <c r="E66" s="5" t="s">
        <v>28</v>
      </c>
      <c r="F66" s="5" t="s">
        <v>47</v>
      </c>
      <c r="G66" s="5">
        <v>2019</v>
      </c>
      <c r="H66" s="5" t="str">
        <f>CONCATENATE("94240678527")</f>
        <v>94240678527</v>
      </c>
      <c r="I66" s="5" t="s">
        <v>29</v>
      </c>
      <c r="J66" s="5" t="s">
        <v>35</v>
      </c>
      <c r="K66" s="5" t="str">
        <f>CONCATENATE("")</f>
        <v/>
      </c>
      <c r="L66" s="5" t="str">
        <f>CONCATENATE("11 11.1 4b")</f>
        <v>11 11.1 4b</v>
      </c>
      <c r="M66" s="5" t="str">
        <f>CONCATENATE("FRNDNL97H09B474U")</f>
        <v>FRNDNL97H09B474U</v>
      </c>
      <c r="N66" s="5" t="s">
        <v>138</v>
      </c>
      <c r="O66" s="5" t="s">
        <v>49</v>
      </c>
      <c r="P66" s="6">
        <v>44046</v>
      </c>
      <c r="Q66" s="5" t="s">
        <v>30</v>
      </c>
      <c r="R66" s="5" t="s">
        <v>31</v>
      </c>
      <c r="S66" s="5" t="s">
        <v>32</v>
      </c>
      <c r="T66" s="5"/>
      <c r="U66" s="5">
        <v>278.95999999999998</v>
      </c>
      <c r="V66" s="5">
        <v>120.29</v>
      </c>
      <c r="W66" s="5">
        <v>111.08</v>
      </c>
      <c r="X66" s="5">
        <v>0</v>
      </c>
      <c r="Y66" s="5">
        <v>47.59</v>
      </c>
    </row>
    <row r="67" spans="1:25" ht="24.75" x14ac:dyDescent="0.25">
      <c r="A67" s="5" t="s">
        <v>26</v>
      </c>
      <c r="B67" s="5" t="s">
        <v>27</v>
      </c>
      <c r="C67" s="5" t="s">
        <v>45</v>
      </c>
      <c r="D67" s="5" t="s">
        <v>52</v>
      </c>
      <c r="E67" s="5" t="s">
        <v>33</v>
      </c>
      <c r="F67" s="5" t="s">
        <v>53</v>
      </c>
      <c r="G67" s="5">
        <v>2019</v>
      </c>
      <c r="H67" s="5" t="str">
        <f>CONCATENATE("94241032369")</f>
        <v>94241032369</v>
      </c>
      <c r="I67" s="5" t="s">
        <v>34</v>
      </c>
      <c r="J67" s="5" t="s">
        <v>35</v>
      </c>
      <c r="K67" s="5" t="str">
        <f>CONCATENATE("")</f>
        <v/>
      </c>
      <c r="L67" s="5" t="str">
        <f>CONCATENATE("10 10.1 4a")</f>
        <v>10 10.1 4a</v>
      </c>
      <c r="M67" s="5" t="str">
        <f>CONCATENATE("MRLRRE77C12G516I")</f>
        <v>MRLRRE77C12G516I</v>
      </c>
      <c r="N67" s="5" t="s">
        <v>139</v>
      </c>
      <c r="O67" s="5" t="s">
        <v>59</v>
      </c>
      <c r="P67" s="6">
        <v>44046</v>
      </c>
      <c r="Q67" s="5" t="s">
        <v>30</v>
      </c>
      <c r="R67" s="5" t="s">
        <v>31</v>
      </c>
      <c r="S67" s="5" t="s">
        <v>32</v>
      </c>
      <c r="T67" s="5"/>
      <c r="U67" s="7">
        <v>1135.0999999999999</v>
      </c>
      <c r="V67" s="5">
        <v>489.46</v>
      </c>
      <c r="W67" s="5">
        <v>452</v>
      </c>
      <c r="X67" s="5">
        <v>0</v>
      </c>
      <c r="Y67" s="5">
        <v>193.64</v>
      </c>
    </row>
    <row r="68" spans="1:25" ht="24.75" x14ac:dyDescent="0.25">
      <c r="A68" s="5" t="s">
        <v>26</v>
      </c>
      <c r="B68" s="5" t="s">
        <v>27</v>
      </c>
      <c r="C68" s="5" t="s">
        <v>45</v>
      </c>
      <c r="D68" s="5" t="s">
        <v>73</v>
      </c>
      <c r="E68" s="5" t="s">
        <v>28</v>
      </c>
      <c r="F68" s="5" t="s">
        <v>119</v>
      </c>
      <c r="G68" s="5">
        <v>2019</v>
      </c>
      <c r="H68" s="5" t="str">
        <f>CONCATENATE("94240886062")</f>
        <v>94240886062</v>
      </c>
      <c r="I68" s="5" t="s">
        <v>29</v>
      </c>
      <c r="J68" s="5" t="s">
        <v>35</v>
      </c>
      <c r="K68" s="5" t="str">
        <f>CONCATENATE("")</f>
        <v/>
      </c>
      <c r="L68" s="5" t="str">
        <f>CONCATENATE("11 11.1 4b")</f>
        <v>11 11.1 4b</v>
      </c>
      <c r="M68" s="5" t="str">
        <f>CONCATENATE("BLLFPP70M21D007S")</f>
        <v>BLLFPP70M21D007S</v>
      </c>
      <c r="N68" s="5" t="s">
        <v>140</v>
      </c>
      <c r="O68" s="5" t="s">
        <v>49</v>
      </c>
      <c r="P68" s="6">
        <v>44046</v>
      </c>
      <c r="Q68" s="5" t="s">
        <v>30</v>
      </c>
      <c r="R68" s="5" t="s">
        <v>31</v>
      </c>
      <c r="S68" s="5" t="s">
        <v>32</v>
      </c>
      <c r="T68" s="5"/>
      <c r="U68" s="7">
        <v>1258.54</v>
      </c>
      <c r="V68" s="5">
        <v>542.67999999999995</v>
      </c>
      <c r="W68" s="5">
        <v>501.15</v>
      </c>
      <c r="X68" s="5">
        <v>0</v>
      </c>
      <c r="Y68" s="5">
        <v>214.71</v>
      </c>
    </row>
    <row r="69" spans="1:25" ht="24.75" x14ac:dyDescent="0.25">
      <c r="A69" s="5" t="s">
        <v>26</v>
      </c>
      <c r="B69" s="5" t="s">
        <v>27</v>
      </c>
      <c r="C69" s="5" t="s">
        <v>45</v>
      </c>
      <c r="D69" s="5" t="s">
        <v>73</v>
      </c>
      <c r="E69" s="5" t="s">
        <v>28</v>
      </c>
      <c r="F69" s="5" t="s">
        <v>119</v>
      </c>
      <c r="G69" s="5">
        <v>2019</v>
      </c>
      <c r="H69" s="5" t="str">
        <f>CONCATENATE("94241119422")</f>
        <v>94241119422</v>
      </c>
      <c r="I69" s="5" t="s">
        <v>29</v>
      </c>
      <c r="J69" s="5" t="s">
        <v>35</v>
      </c>
      <c r="K69" s="5" t="str">
        <f>CONCATENATE("")</f>
        <v/>
      </c>
      <c r="L69" s="5" t="str">
        <f>CONCATENATE("11 11.2 4b")</f>
        <v>11 11.2 4b</v>
      </c>
      <c r="M69" s="5" t="str">
        <f>CONCATENATE("00398210419")</f>
        <v>00398210419</v>
      </c>
      <c r="N69" s="5" t="s">
        <v>141</v>
      </c>
      <c r="O69" s="5" t="s">
        <v>49</v>
      </c>
      <c r="P69" s="6">
        <v>44046</v>
      </c>
      <c r="Q69" s="5" t="s">
        <v>30</v>
      </c>
      <c r="R69" s="5" t="s">
        <v>31</v>
      </c>
      <c r="S69" s="5" t="s">
        <v>32</v>
      </c>
      <c r="T69" s="5"/>
      <c r="U69" s="5">
        <v>716.13</v>
      </c>
      <c r="V69" s="5">
        <v>308.8</v>
      </c>
      <c r="W69" s="5">
        <v>285.16000000000003</v>
      </c>
      <c r="X69" s="5">
        <v>0</v>
      </c>
      <c r="Y69" s="5">
        <v>122.17</v>
      </c>
    </row>
    <row r="70" spans="1:25" x14ac:dyDescent="0.25">
      <c r="A70" s="5" t="s">
        <v>26</v>
      </c>
      <c r="B70" s="5" t="s">
        <v>27</v>
      </c>
      <c r="C70" s="5" t="s">
        <v>45</v>
      </c>
      <c r="D70" s="5" t="s">
        <v>46</v>
      </c>
      <c r="E70" s="5" t="s">
        <v>40</v>
      </c>
      <c r="F70" s="5" t="s">
        <v>129</v>
      </c>
      <c r="G70" s="5">
        <v>2019</v>
      </c>
      <c r="H70" s="5" t="str">
        <f>CONCATENATE("94240769938")</f>
        <v>94240769938</v>
      </c>
      <c r="I70" s="5" t="s">
        <v>29</v>
      </c>
      <c r="J70" s="5" t="s">
        <v>35</v>
      </c>
      <c r="K70" s="5" t="str">
        <f>CONCATENATE("")</f>
        <v/>
      </c>
      <c r="L70" s="5" t="str">
        <f>CONCATENATE("11 11.2 4b")</f>
        <v>11 11.2 4b</v>
      </c>
      <c r="M70" s="5" t="str">
        <f>CONCATENATE("PNTGRL69A06I156T")</f>
        <v>PNTGRL69A06I156T</v>
      </c>
      <c r="N70" s="5" t="s">
        <v>142</v>
      </c>
      <c r="O70" s="5" t="s">
        <v>49</v>
      </c>
      <c r="P70" s="6">
        <v>44046</v>
      </c>
      <c r="Q70" s="5" t="s">
        <v>30</v>
      </c>
      <c r="R70" s="5" t="s">
        <v>31</v>
      </c>
      <c r="S70" s="5" t="s">
        <v>32</v>
      </c>
      <c r="T70" s="5"/>
      <c r="U70" s="5">
        <v>736.21</v>
      </c>
      <c r="V70" s="5">
        <v>317.45</v>
      </c>
      <c r="W70" s="5">
        <v>293.16000000000003</v>
      </c>
      <c r="X70" s="5">
        <v>0</v>
      </c>
      <c r="Y70" s="5">
        <v>125.6</v>
      </c>
    </row>
    <row r="71" spans="1:25" ht="24.75" x14ac:dyDescent="0.25">
      <c r="A71" s="5" t="s">
        <v>26</v>
      </c>
      <c r="B71" s="5" t="s">
        <v>27</v>
      </c>
      <c r="C71" s="5" t="s">
        <v>45</v>
      </c>
      <c r="D71" s="5" t="s">
        <v>73</v>
      </c>
      <c r="E71" s="5" t="s">
        <v>28</v>
      </c>
      <c r="F71" s="5" t="s">
        <v>119</v>
      </c>
      <c r="G71" s="5">
        <v>2019</v>
      </c>
      <c r="H71" s="5" t="str">
        <f>CONCATENATE("94241102923")</f>
        <v>94241102923</v>
      </c>
      <c r="I71" s="5" t="s">
        <v>29</v>
      </c>
      <c r="J71" s="5" t="s">
        <v>35</v>
      </c>
      <c r="K71" s="5" t="str">
        <f>CONCATENATE("")</f>
        <v/>
      </c>
      <c r="L71" s="5" t="str">
        <f>CONCATENATE("11 11.1 4b")</f>
        <v>11 11.1 4b</v>
      </c>
      <c r="M71" s="5" t="str">
        <f>CONCATENATE("02603050416")</f>
        <v>02603050416</v>
      </c>
      <c r="N71" s="5" t="s">
        <v>143</v>
      </c>
      <c r="O71" s="5" t="s">
        <v>49</v>
      </c>
      <c r="P71" s="6">
        <v>44046</v>
      </c>
      <c r="Q71" s="5" t="s">
        <v>30</v>
      </c>
      <c r="R71" s="5" t="s">
        <v>31</v>
      </c>
      <c r="S71" s="5" t="s">
        <v>32</v>
      </c>
      <c r="T71" s="5"/>
      <c r="U71" s="5">
        <v>381.82</v>
      </c>
      <c r="V71" s="5">
        <v>164.64</v>
      </c>
      <c r="W71" s="5">
        <v>152.04</v>
      </c>
      <c r="X71" s="5">
        <v>0</v>
      </c>
      <c r="Y71" s="5">
        <v>65.14</v>
      </c>
    </row>
    <row r="72" spans="1:25" ht="24.75" x14ac:dyDescent="0.25">
      <c r="A72" s="5" t="s">
        <v>26</v>
      </c>
      <c r="B72" s="5" t="s">
        <v>27</v>
      </c>
      <c r="C72" s="5" t="s">
        <v>45</v>
      </c>
      <c r="D72" s="5" t="s">
        <v>73</v>
      </c>
      <c r="E72" s="5" t="s">
        <v>28</v>
      </c>
      <c r="F72" s="5" t="s">
        <v>144</v>
      </c>
      <c r="G72" s="5">
        <v>2019</v>
      </c>
      <c r="H72" s="5" t="str">
        <f>CONCATENATE("94240688518")</f>
        <v>94240688518</v>
      </c>
      <c r="I72" s="5" t="s">
        <v>29</v>
      </c>
      <c r="J72" s="5" t="s">
        <v>35</v>
      </c>
      <c r="K72" s="5" t="str">
        <f>CONCATENATE("")</f>
        <v/>
      </c>
      <c r="L72" s="5" t="str">
        <f>CONCATENATE("11 11.1 4b")</f>
        <v>11 11.1 4b</v>
      </c>
      <c r="M72" s="5" t="str">
        <f>CONCATENATE("BRTFNN86D03Z504Z")</f>
        <v>BRTFNN86D03Z504Z</v>
      </c>
      <c r="N72" s="5" t="s">
        <v>145</v>
      </c>
      <c r="O72" s="5" t="s">
        <v>49</v>
      </c>
      <c r="P72" s="6">
        <v>44046</v>
      </c>
      <c r="Q72" s="5" t="s">
        <v>30</v>
      </c>
      <c r="R72" s="5" t="s">
        <v>31</v>
      </c>
      <c r="S72" s="5" t="s">
        <v>32</v>
      </c>
      <c r="T72" s="5"/>
      <c r="U72" s="5">
        <v>148.91999999999999</v>
      </c>
      <c r="V72" s="5">
        <v>64.209999999999994</v>
      </c>
      <c r="W72" s="5">
        <v>59.3</v>
      </c>
      <c r="X72" s="5">
        <v>0</v>
      </c>
      <c r="Y72" s="5">
        <v>25.41</v>
      </c>
    </row>
    <row r="73" spans="1:25" x14ac:dyDescent="0.25">
      <c r="A73" s="5" t="s">
        <v>26</v>
      </c>
      <c r="B73" s="5" t="s">
        <v>27</v>
      </c>
      <c r="C73" s="5" t="s">
        <v>45</v>
      </c>
      <c r="D73" s="5" t="s">
        <v>46</v>
      </c>
      <c r="E73" s="5" t="s">
        <v>40</v>
      </c>
      <c r="F73" s="5" t="s">
        <v>146</v>
      </c>
      <c r="G73" s="5">
        <v>2019</v>
      </c>
      <c r="H73" s="5" t="str">
        <f>CONCATENATE("94240986037")</f>
        <v>94240986037</v>
      </c>
      <c r="I73" s="5" t="s">
        <v>29</v>
      </c>
      <c r="J73" s="5" t="s">
        <v>35</v>
      </c>
      <c r="K73" s="5" t="str">
        <f>CONCATENATE("")</f>
        <v/>
      </c>
      <c r="L73" s="5" t="str">
        <f>CONCATENATE("11 11.2 4b")</f>
        <v>11 11.2 4b</v>
      </c>
      <c r="M73" s="5" t="str">
        <f>CONCATENATE("LPPBBR74B62E783E")</f>
        <v>LPPBBR74B62E783E</v>
      </c>
      <c r="N73" s="5" t="s">
        <v>147</v>
      </c>
      <c r="O73" s="5" t="s">
        <v>49</v>
      </c>
      <c r="P73" s="6">
        <v>44046</v>
      </c>
      <c r="Q73" s="5" t="s">
        <v>30</v>
      </c>
      <c r="R73" s="5" t="s">
        <v>31</v>
      </c>
      <c r="S73" s="5" t="s">
        <v>32</v>
      </c>
      <c r="T73" s="5"/>
      <c r="U73" s="7">
        <v>1393.52</v>
      </c>
      <c r="V73" s="5">
        <v>600.89</v>
      </c>
      <c r="W73" s="5">
        <v>554.9</v>
      </c>
      <c r="X73" s="5">
        <v>0</v>
      </c>
      <c r="Y73" s="5">
        <v>237.73</v>
      </c>
    </row>
    <row r="74" spans="1:25" ht="24.75" x14ac:dyDescent="0.25">
      <c r="A74" s="5" t="s">
        <v>26</v>
      </c>
      <c r="B74" s="5" t="s">
        <v>27</v>
      </c>
      <c r="C74" s="5" t="s">
        <v>45</v>
      </c>
      <c r="D74" s="5" t="s">
        <v>73</v>
      </c>
      <c r="E74" s="5" t="s">
        <v>33</v>
      </c>
      <c r="F74" s="5" t="s">
        <v>148</v>
      </c>
      <c r="G74" s="5">
        <v>2019</v>
      </c>
      <c r="H74" s="5" t="str">
        <f>CONCATENATE("94240549678")</f>
        <v>94240549678</v>
      </c>
      <c r="I74" s="5" t="s">
        <v>29</v>
      </c>
      <c r="J74" s="5" t="s">
        <v>35</v>
      </c>
      <c r="K74" s="5" t="str">
        <f>CONCATENATE("")</f>
        <v/>
      </c>
      <c r="L74" s="5" t="str">
        <f>CONCATENATE("11 11.1 4b")</f>
        <v>11 11.1 4b</v>
      </c>
      <c r="M74" s="5" t="str">
        <f>CONCATENATE("HNTFDR65P12B220H")</f>
        <v>HNTFDR65P12B220H</v>
      </c>
      <c r="N74" s="5" t="s">
        <v>149</v>
      </c>
      <c r="O74" s="5" t="s">
        <v>49</v>
      </c>
      <c r="P74" s="6">
        <v>44046</v>
      </c>
      <c r="Q74" s="5" t="s">
        <v>30</v>
      </c>
      <c r="R74" s="5" t="s">
        <v>31</v>
      </c>
      <c r="S74" s="5" t="s">
        <v>32</v>
      </c>
      <c r="T74" s="5"/>
      <c r="U74" s="5">
        <v>352.88</v>
      </c>
      <c r="V74" s="5">
        <v>152.16</v>
      </c>
      <c r="W74" s="5">
        <v>140.52000000000001</v>
      </c>
      <c r="X74" s="5">
        <v>0</v>
      </c>
      <c r="Y74" s="5">
        <v>60.2</v>
      </c>
    </row>
    <row r="75" spans="1:25" ht="24.75" x14ac:dyDescent="0.25">
      <c r="A75" s="5" t="s">
        <v>26</v>
      </c>
      <c r="B75" s="5" t="s">
        <v>27</v>
      </c>
      <c r="C75" s="5" t="s">
        <v>45</v>
      </c>
      <c r="D75" s="5" t="s">
        <v>73</v>
      </c>
      <c r="E75" s="5" t="s">
        <v>28</v>
      </c>
      <c r="F75" s="5" t="s">
        <v>150</v>
      </c>
      <c r="G75" s="5">
        <v>2019</v>
      </c>
      <c r="H75" s="5" t="str">
        <f>CONCATENATE("94241016255")</f>
        <v>94241016255</v>
      </c>
      <c r="I75" s="5" t="s">
        <v>29</v>
      </c>
      <c r="J75" s="5" t="s">
        <v>35</v>
      </c>
      <c r="K75" s="5" t="str">
        <f>CONCATENATE("")</f>
        <v/>
      </c>
      <c r="L75" s="5" t="str">
        <f>CONCATENATE("11 11.2 4b")</f>
        <v>11 11.2 4b</v>
      </c>
      <c r="M75" s="5" t="str">
        <f>CONCATENATE("GRLGNN83E25L500Q")</f>
        <v>GRLGNN83E25L500Q</v>
      </c>
      <c r="N75" s="5" t="s">
        <v>151</v>
      </c>
      <c r="O75" s="5" t="s">
        <v>49</v>
      </c>
      <c r="P75" s="6">
        <v>44046</v>
      </c>
      <c r="Q75" s="5" t="s">
        <v>30</v>
      </c>
      <c r="R75" s="5" t="s">
        <v>31</v>
      </c>
      <c r="S75" s="5" t="s">
        <v>32</v>
      </c>
      <c r="T75" s="5"/>
      <c r="U75" s="7">
        <v>1267.74</v>
      </c>
      <c r="V75" s="5">
        <v>546.65</v>
      </c>
      <c r="W75" s="5">
        <v>504.81</v>
      </c>
      <c r="X75" s="5">
        <v>0</v>
      </c>
      <c r="Y75" s="5">
        <v>216.28</v>
      </c>
    </row>
    <row r="76" spans="1:25" ht="24.75" x14ac:dyDescent="0.25">
      <c r="A76" s="5" t="s">
        <v>26</v>
      </c>
      <c r="B76" s="5" t="s">
        <v>27</v>
      </c>
      <c r="C76" s="5" t="s">
        <v>45</v>
      </c>
      <c r="D76" s="5" t="s">
        <v>46</v>
      </c>
      <c r="E76" s="5" t="s">
        <v>33</v>
      </c>
      <c r="F76" s="5" t="s">
        <v>152</v>
      </c>
      <c r="G76" s="5">
        <v>2019</v>
      </c>
      <c r="H76" s="5" t="str">
        <f>CONCATENATE("94240085525")</f>
        <v>94240085525</v>
      </c>
      <c r="I76" s="5" t="s">
        <v>34</v>
      </c>
      <c r="J76" s="5" t="s">
        <v>35</v>
      </c>
      <c r="K76" s="5" t="str">
        <f>CONCATENATE("")</f>
        <v/>
      </c>
      <c r="L76" s="5" t="str">
        <f>CONCATENATE("11 11.2 4b")</f>
        <v>11 11.2 4b</v>
      </c>
      <c r="M76" s="5" t="str">
        <f>CONCATENATE("00681620431")</f>
        <v>00681620431</v>
      </c>
      <c r="N76" s="5" t="s">
        <v>153</v>
      </c>
      <c r="O76" s="5" t="s">
        <v>49</v>
      </c>
      <c r="P76" s="6">
        <v>44046</v>
      </c>
      <c r="Q76" s="5" t="s">
        <v>30</v>
      </c>
      <c r="R76" s="5" t="s">
        <v>31</v>
      </c>
      <c r="S76" s="5" t="s">
        <v>32</v>
      </c>
      <c r="T76" s="5"/>
      <c r="U76" s="5">
        <v>194.54</v>
      </c>
      <c r="V76" s="5">
        <v>83.89</v>
      </c>
      <c r="W76" s="5">
        <v>77.47</v>
      </c>
      <c r="X76" s="5">
        <v>0</v>
      </c>
      <c r="Y76" s="5">
        <v>33.18</v>
      </c>
    </row>
    <row r="77" spans="1:25" x14ac:dyDescent="0.25">
      <c r="A77" s="5" t="s">
        <v>26</v>
      </c>
      <c r="B77" s="5" t="s">
        <v>27</v>
      </c>
      <c r="C77" s="5" t="s">
        <v>45</v>
      </c>
      <c r="D77" s="5" t="s">
        <v>46</v>
      </c>
      <c r="E77" s="5" t="s">
        <v>40</v>
      </c>
      <c r="F77" s="5" t="s">
        <v>129</v>
      </c>
      <c r="G77" s="5">
        <v>2019</v>
      </c>
      <c r="H77" s="5" t="str">
        <f>CONCATENATE("94241091563")</f>
        <v>94241091563</v>
      </c>
      <c r="I77" s="5" t="s">
        <v>29</v>
      </c>
      <c r="J77" s="5" t="s">
        <v>35</v>
      </c>
      <c r="K77" s="5" t="str">
        <f>CONCATENATE("")</f>
        <v/>
      </c>
      <c r="L77" s="5" t="str">
        <f>CONCATENATE("11 11.1 4b")</f>
        <v>11 11.1 4b</v>
      </c>
      <c r="M77" s="5" t="str">
        <f>CONCATENATE("PRMJRU95S23I156U")</f>
        <v>PRMJRU95S23I156U</v>
      </c>
      <c r="N77" s="5" t="s">
        <v>154</v>
      </c>
      <c r="O77" s="5" t="s">
        <v>49</v>
      </c>
      <c r="P77" s="6">
        <v>44046</v>
      </c>
      <c r="Q77" s="5" t="s">
        <v>30</v>
      </c>
      <c r="R77" s="5" t="s">
        <v>31</v>
      </c>
      <c r="S77" s="5" t="s">
        <v>32</v>
      </c>
      <c r="T77" s="5"/>
      <c r="U77" s="7">
        <v>3406.14</v>
      </c>
      <c r="V77" s="7">
        <v>1468.73</v>
      </c>
      <c r="W77" s="7">
        <v>1356.32</v>
      </c>
      <c r="X77" s="5">
        <v>0</v>
      </c>
      <c r="Y77" s="5">
        <v>581.09</v>
      </c>
    </row>
    <row r="78" spans="1:25" ht="24.75" x14ac:dyDescent="0.25">
      <c r="A78" s="5" t="s">
        <v>26</v>
      </c>
      <c r="B78" s="5" t="s">
        <v>27</v>
      </c>
      <c r="C78" s="5" t="s">
        <v>45</v>
      </c>
      <c r="D78" s="5" t="s">
        <v>73</v>
      </c>
      <c r="E78" s="5" t="s">
        <v>28</v>
      </c>
      <c r="F78" s="5" t="s">
        <v>78</v>
      </c>
      <c r="G78" s="5">
        <v>2019</v>
      </c>
      <c r="H78" s="5" t="str">
        <f>CONCATENATE("94240539679")</f>
        <v>94240539679</v>
      </c>
      <c r="I78" s="5" t="s">
        <v>29</v>
      </c>
      <c r="J78" s="5" t="s">
        <v>35</v>
      </c>
      <c r="K78" s="5" t="str">
        <f>CONCATENATE("")</f>
        <v/>
      </c>
      <c r="L78" s="5" t="str">
        <f>CONCATENATE("11 11.2 4b")</f>
        <v>11 11.2 4b</v>
      </c>
      <c r="M78" s="5" t="str">
        <f>CONCATENATE("02664210412")</f>
        <v>02664210412</v>
      </c>
      <c r="N78" s="5" t="s">
        <v>155</v>
      </c>
      <c r="O78" s="5" t="s">
        <v>49</v>
      </c>
      <c r="P78" s="6">
        <v>44046</v>
      </c>
      <c r="Q78" s="5" t="s">
        <v>30</v>
      </c>
      <c r="R78" s="5" t="s">
        <v>31</v>
      </c>
      <c r="S78" s="5" t="s">
        <v>32</v>
      </c>
      <c r="T78" s="5"/>
      <c r="U78" s="5">
        <v>629.92999999999995</v>
      </c>
      <c r="V78" s="5">
        <v>271.63</v>
      </c>
      <c r="W78" s="5">
        <v>250.84</v>
      </c>
      <c r="X78" s="5">
        <v>0</v>
      </c>
      <c r="Y78" s="5">
        <v>107.46</v>
      </c>
    </row>
    <row r="79" spans="1:25" x14ac:dyDescent="0.25">
      <c r="A79" s="5" t="s">
        <v>26</v>
      </c>
      <c r="B79" s="5" t="s">
        <v>27</v>
      </c>
      <c r="C79" s="5" t="s">
        <v>45</v>
      </c>
      <c r="D79" s="5" t="s">
        <v>46</v>
      </c>
      <c r="E79" s="5" t="s">
        <v>40</v>
      </c>
      <c r="F79" s="5" t="s">
        <v>156</v>
      </c>
      <c r="G79" s="5">
        <v>2019</v>
      </c>
      <c r="H79" s="5" t="str">
        <f>CONCATENATE("94241170201")</f>
        <v>94241170201</v>
      </c>
      <c r="I79" s="5" t="s">
        <v>29</v>
      </c>
      <c r="J79" s="5" t="s">
        <v>35</v>
      </c>
      <c r="K79" s="5" t="str">
        <f>CONCATENATE("")</f>
        <v/>
      </c>
      <c r="L79" s="5" t="str">
        <f>CONCATENATE("11 11.2 4b")</f>
        <v>11 11.2 4b</v>
      </c>
      <c r="M79" s="5" t="str">
        <f>CONCATENATE("RSSVNT79E45F520P")</f>
        <v>RSSVNT79E45F520P</v>
      </c>
      <c r="N79" s="5" t="s">
        <v>157</v>
      </c>
      <c r="O79" s="5" t="s">
        <v>49</v>
      </c>
      <c r="P79" s="6">
        <v>44046</v>
      </c>
      <c r="Q79" s="5" t="s">
        <v>30</v>
      </c>
      <c r="R79" s="5" t="s">
        <v>31</v>
      </c>
      <c r="S79" s="5" t="s">
        <v>32</v>
      </c>
      <c r="T79" s="5"/>
      <c r="U79" s="5">
        <v>306.01</v>
      </c>
      <c r="V79" s="5">
        <v>131.94999999999999</v>
      </c>
      <c r="W79" s="5">
        <v>121.85</v>
      </c>
      <c r="X79" s="5">
        <v>0</v>
      </c>
      <c r="Y79" s="5">
        <v>52.21</v>
      </c>
    </row>
    <row r="80" spans="1:25" x14ac:dyDescent="0.25">
      <c r="A80" s="5" t="s">
        <v>26</v>
      </c>
      <c r="B80" s="5" t="s">
        <v>27</v>
      </c>
      <c r="C80" s="5" t="s">
        <v>45</v>
      </c>
      <c r="D80" s="5" t="s">
        <v>46</v>
      </c>
      <c r="E80" s="5" t="s">
        <v>40</v>
      </c>
      <c r="F80" s="5" t="s">
        <v>156</v>
      </c>
      <c r="G80" s="5">
        <v>2019</v>
      </c>
      <c r="H80" s="5" t="str">
        <f>CONCATENATE("94241169997")</f>
        <v>94241169997</v>
      </c>
      <c r="I80" s="5" t="s">
        <v>29</v>
      </c>
      <c r="J80" s="5" t="s">
        <v>35</v>
      </c>
      <c r="K80" s="5" t="str">
        <f>CONCATENATE("")</f>
        <v/>
      </c>
      <c r="L80" s="5" t="str">
        <f>CONCATENATE("11 11.2 4b")</f>
        <v>11 11.2 4b</v>
      </c>
      <c r="M80" s="5" t="str">
        <f>CONCATENATE("RSSVNT79E45F520P")</f>
        <v>RSSVNT79E45F520P</v>
      </c>
      <c r="N80" s="5" t="s">
        <v>157</v>
      </c>
      <c r="O80" s="5" t="s">
        <v>49</v>
      </c>
      <c r="P80" s="6">
        <v>44046</v>
      </c>
      <c r="Q80" s="5" t="s">
        <v>30</v>
      </c>
      <c r="R80" s="5" t="s">
        <v>31</v>
      </c>
      <c r="S80" s="5" t="s">
        <v>32</v>
      </c>
      <c r="T80" s="5"/>
      <c r="U80" s="7">
        <v>2855.97</v>
      </c>
      <c r="V80" s="7">
        <v>1231.49</v>
      </c>
      <c r="W80" s="7">
        <v>1137.25</v>
      </c>
      <c r="X80" s="5">
        <v>0</v>
      </c>
      <c r="Y80" s="5">
        <v>487.23</v>
      </c>
    </row>
    <row r="81" spans="1:25" ht="24.75" x14ac:dyDescent="0.25">
      <c r="A81" s="5" t="s">
        <v>26</v>
      </c>
      <c r="B81" s="5" t="s">
        <v>27</v>
      </c>
      <c r="C81" s="5" t="s">
        <v>45</v>
      </c>
      <c r="D81" s="5" t="s">
        <v>73</v>
      </c>
      <c r="E81" s="5" t="s">
        <v>33</v>
      </c>
      <c r="F81" s="5" t="s">
        <v>76</v>
      </c>
      <c r="G81" s="5">
        <v>2019</v>
      </c>
      <c r="H81" s="5" t="str">
        <f>CONCATENATE("94240721376")</f>
        <v>94240721376</v>
      </c>
      <c r="I81" s="5" t="s">
        <v>29</v>
      </c>
      <c r="J81" s="5" t="s">
        <v>35</v>
      </c>
      <c r="K81" s="5" t="str">
        <f>CONCATENATE("")</f>
        <v/>
      </c>
      <c r="L81" s="5" t="str">
        <f>CONCATENATE("11 11.2 4b")</f>
        <v>11 11.2 4b</v>
      </c>
      <c r="M81" s="5" t="str">
        <f>CONCATENATE("BDRRSU53B23Z133Q")</f>
        <v>BDRRSU53B23Z133Q</v>
      </c>
      <c r="N81" s="5" t="s">
        <v>158</v>
      </c>
      <c r="O81" s="5" t="s">
        <v>49</v>
      </c>
      <c r="P81" s="6">
        <v>44046</v>
      </c>
      <c r="Q81" s="5" t="s">
        <v>30</v>
      </c>
      <c r="R81" s="5" t="s">
        <v>31</v>
      </c>
      <c r="S81" s="5" t="s">
        <v>32</v>
      </c>
      <c r="T81" s="5"/>
      <c r="U81" s="5">
        <v>347.24</v>
      </c>
      <c r="V81" s="5">
        <v>149.72999999999999</v>
      </c>
      <c r="W81" s="5">
        <v>138.27000000000001</v>
      </c>
      <c r="X81" s="5">
        <v>0</v>
      </c>
      <c r="Y81" s="5">
        <v>59.24</v>
      </c>
    </row>
    <row r="82" spans="1:25" ht="24.75" x14ac:dyDescent="0.25">
      <c r="A82" s="5" t="s">
        <v>26</v>
      </c>
      <c r="B82" s="5" t="s">
        <v>27</v>
      </c>
      <c r="C82" s="5" t="s">
        <v>45</v>
      </c>
      <c r="D82" s="5" t="s">
        <v>73</v>
      </c>
      <c r="E82" s="5" t="s">
        <v>28</v>
      </c>
      <c r="F82" s="5" t="s">
        <v>78</v>
      </c>
      <c r="G82" s="5">
        <v>2019</v>
      </c>
      <c r="H82" s="5" t="str">
        <f>CONCATENATE("94240530280")</f>
        <v>94240530280</v>
      </c>
      <c r="I82" s="5" t="s">
        <v>29</v>
      </c>
      <c r="J82" s="5" t="s">
        <v>35</v>
      </c>
      <c r="K82" s="5" t="str">
        <f>CONCATENATE("")</f>
        <v/>
      </c>
      <c r="L82" s="5" t="str">
        <f>CONCATENATE("11 11.2 4b")</f>
        <v>11 11.2 4b</v>
      </c>
      <c r="M82" s="5" t="str">
        <f>CONCATENATE("CCCFNC65A18I287O")</f>
        <v>CCCFNC65A18I287O</v>
      </c>
      <c r="N82" s="5" t="s">
        <v>159</v>
      </c>
      <c r="O82" s="5" t="s">
        <v>49</v>
      </c>
      <c r="P82" s="6">
        <v>44046</v>
      </c>
      <c r="Q82" s="5" t="s">
        <v>30</v>
      </c>
      <c r="R82" s="5" t="s">
        <v>31</v>
      </c>
      <c r="S82" s="5" t="s">
        <v>32</v>
      </c>
      <c r="T82" s="5"/>
      <c r="U82" s="5">
        <v>428.56</v>
      </c>
      <c r="V82" s="5">
        <v>184.8</v>
      </c>
      <c r="W82" s="5">
        <v>170.65</v>
      </c>
      <c r="X82" s="5">
        <v>0</v>
      </c>
      <c r="Y82" s="5">
        <v>73.11</v>
      </c>
    </row>
    <row r="83" spans="1:25" x14ac:dyDescent="0.25">
      <c r="A83" s="5" t="s">
        <v>26</v>
      </c>
      <c r="B83" s="5" t="s">
        <v>27</v>
      </c>
      <c r="C83" s="5" t="s">
        <v>45</v>
      </c>
      <c r="D83" s="5" t="s">
        <v>46</v>
      </c>
      <c r="E83" s="5" t="s">
        <v>28</v>
      </c>
      <c r="F83" s="5" t="s">
        <v>47</v>
      </c>
      <c r="G83" s="5">
        <v>2019</v>
      </c>
      <c r="H83" s="5" t="str">
        <f>CONCATENATE("94240190812")</f>
        <v>94240190812</v>
      </c>
      <c r="I83" s="5" t="s">
        <v>29</v>
      </c>
      <c r="J83" s="5" t="s">
        <v>35</v>
      </c>
      <c r="K83" s="5" t="str">
        <f>CONCATENATE("")</f>
        <v/>
      </c>
      <c r="L83" s="5" t="str">
        <f>CONCATENATE("11 11.1 4b")</f>
        <v>11 11.1 4b</v>
      </c>
      <c r="M83" s="5" t="str">
        <f>CONCATENATE("01936560430")</f>
        <v>01936560430</v>
      </c>
      <c r="N83" s="5" t="s">
        <v>160</v>
      </c>
      <c r="O83" s="5" t="s">
        <v>49</v>
      </c>
      <c r="P83" s="6">
        <v>44046</v>
      </c>
      <c r="Q83" s="5" t="s">
        <v>30</v>
      </c>
      <c r="R83" s="5" t="s">
        <v>31</v>
      </c>
      <c r="S83" s="5" t="s">
        <v>32</v>
      </c>
      <c r="T83" s="5"/>
      <c r="U83" s="5">
        <v>498.75</v>
      </c>
      <c r="V83" s="5">
        <v>215.06</v>
      </c>
      <c r="W83" s="5">
        <v>198.6</v>
      </c>
      <c r="X83" s="5">
        <v>0</v>
      </c>
      <c r="Y83" s="5">
        <v>85.09</v>
      </c>
    </row>
    <row r="84" spans="1:25" ht="24.75" x14ac:dyDescent="0.25">
      <c r="A84" s="5" t="s">
        <v>26</v>
      </c>
      <c r="B84" s="5" t="s">
        <v>27</v>
      </c>
      <c r="C84" s="5" t="s">
        <v>45</v>
      </c>
      <c r="D84" s="5" t="s">
        <v>46</v>
      </c>
      <c r="E84" s="5" t="s">
        <v>28</v>
      </c>
      <c r="F84" s="5" t="s">
        <v>47</v>
      </c>
      <c r="G84" s="5">
        <v>2019</v>
      </c>
      <c r="H84" s="5" t="str">
        <f>CONCATENATE("94240929896")</f>
        <v>94240929896</v>
      </c>
      <c r="I84" s="5" t="s">
        <v>29</v>
      </c>
      <c r="J84" s="5" t="s">
        <v>35</v>
      </c>
      <c r="K84" s="5" t="str">
        <f>CONCATENATE("")</f>
        <v/>
      </c>
      <c r="L84" s="5" t="str">
        <f>CONCATENATE("11 11.2 4b")</f>
        <v>11 11.2 4b</v>
      </c>
      <c r="M84" s="5" t="str">
        <f>CONCATENATE("01945810438")</f>
        <v>01945810438</v>
      </c>
      <c r="N84" s="5" t="s">
        <v>161</v>
      </c>
      <c r="O84" s="5" t="s">
        <v>49</v>
      </c>
      <c r="P84" s="6">
        <v>44046</v>
      </c>
      <c r="Q84" s="5" t="s">
        <v>30</v>
      </c>
      <c r="R84" s="5" t="s">
        <v>31</v>
      </c>
      <c r="S84" s="5" t="s">
        <v>32</v>
      </c>
      <c r="T84" s="5"/>
      <c r="U84" s="5">
        <v>734.97</v>
      </c>
      <c r="V84" s="5">
        <v>316.92</v>
      </c>
      <c r="W84" s="5">
        <v>292.67</v>
      </c>
      <c r="X84" s="5">
        <v>0</v>
      </c>
      <c r="Y84" s="5">
        <v>125.38</v>
      </c>
    </row>
    <row r="85" spans="1:25" x14ac:dyDescent="0.25">
      <c r="A85" s="5" t="s">
        <v>26</v>
      </c>
      <c r="B85" s="5" t="s">
        <v>27</v>
      </c>
      <c r="C85" s="5" t="s">
        <v>45</v>
      </c>
      <c r="D85" s="5" t="s">
        <v>46</v>
      </c>
      <c r="E85" s="5" t="s">
        <v>28</v>
      </c>
      <c r="F85" s="5" t="s">
        <v>162</v>
      </c>
      <c r="G85" s="5">
        <v>2019</v>
      </c>
      <c r="H85" s="5" t="str">
        <f>CONCATENATE("94240770985")</f>
        <v>94240770985</v>
      </c>
      <c r="I85" s="5" t="s">
        <v>29</v>
      </c>
      <c r="J85" s="5" t="s">
        <v>35</v>
      </c>
      <c r="K85" s="5" t="str">
        <f>CONCATENATE("")</f>
        <v/>
      </c>
      <c r="L85" s="5" t="str">
        <f>CONCATENATE("11 11.1 4b")</f>
        <v>11 11.1 4b</v>
      </c>
      <c r="M85" s="5" t="str">
        <f>CONCATENATE("CMBDNS60E41I156K")</f>
        <v>CMBDNS60E41I156K</v>
      </c>
      <c r="N85" s="5" t="s">
        <v>163</v>
      </c>
      <c r="O85" s="5" t="s">
        <v>49</v>
      </c>
      <c r="P85" s="6">
        <v>44046</v>
      </c>
      <c r="Q85" s="5" t="s">
        <v>30</v>
      </c>
      <c r="R85" s="5" t="s">
        <v>31</v>
      </c>
      <c r="S85" s="5" t="s">
        <v>32</v>
      </c>
      <c r="T85" s="5"/>
      <c r="U85" s="5">
        <v>84.8</v>
      </c>
      <c r="V85" s="5">
        <v>36.57</v>
      </c>
      <c r="W85" s="5">
        <v>33.770000000000003</v>
      </c>
      <c r="X85" s="5">
        <v>0</v>
      </c>
      <c r="Y85" s="5">
        <v>14.46</v>
      </c>
    </row>
    <row r="86" spans="1:25" ht="24.75" x14ac:dyDescent="0.25">
      <c r="A86" s="5" t="s">
        <v>26</v>
      </c>
      <c r="B86" s="5" t="s">
        <v>27</v>
      </c>
      <c r="C86" s="5" t="s">
        <v>45</v>
      </c>
      <c r="D86" s="5" t="s">
        <v>73</v>
      </c>
      <c r="E86" s="5" t="s">
        <v>28</v>
      </c>
      <c r="F86" s="5" t="s">
        <v>150</v>
      </c>
      <c r="G86" s="5">
        <v>2019</v>
      </c>
      <c r="H86" s="5" t="str">
        <f>CONCATENATE("94240949480")</f>
        <v>94240949480</v>
      </c>
      <c r="I86" s="5" t="s">
        <v>29</v>
      </c>
      <c r="J86" s="5" t="s">
        <v>35</v>
      </c>
      <c r="K86" s="5" t="str">
        <f>CONCATENATE("")</f>
        <v/>
      </c>
      <c r="L86" s="5" t="str">
        <f>CONCATENATE("11 11.1 4b")</f>
        <v>11 11.1 4b</v>
      </c>
      <c r="M86" s="5" t="str">
        <f>CONCATENATE("MNCLBN52A12I344G")</f>
        <v>MNCLBN52A12I344G</v>
      </c>
      <c r="N86" s="5" t="s">
        <v>164</v>
      </c>
      <c r="O86" s="5" t="s">
        <v>49</v>
      </c>
      <c r="P86" s="6">
        <v>44046</v>
      </c>
      <c r="Q86" s="5" t="s">
        <v>30</v>
      </c>
      <c r="R86" s="5" t="s">
        <v>31</v>
      </c>
      <c r="S86" s="5" t="s">
        <v>32</v>
      </c>
      <c r="T86" s="5"/>
      <c r="U86" s="7">
        <v>2045.61</v>
      </c>
      <c r="V86" s="5">
        <v>882.07</v>
      </c>
      <c r="W86" s="5">
        <v>814.56</v>
      </c>
      <c r="X86" s="5">
        <v>0</v>
      </c>
      <c r="Y86" s="5">
        <v>348.98</v>
      </c>
    </row>
    <row r="87" spans="1:25" ht="24.75" x14ac:dyDescent="0.25">
      <c r="A87" s="5" t="s">
        <v>26</v>
      </c>
      <c r="B87" s="5" t="s">
        <v>27</v>
      </c>
      <c r="C87" s="5" t="s">
        <v>45</v>
      </c>
      <c r="D87" s="5" t="s">
        <v>73</v>
      </c>
      <c r="E87" s="5" t="s">
        <v>40</v>
      </c>
      <c r="F87" s="5" t="s">
        <v>108</v>
      </c>
      <c r="G87" s="5">
        <v>2019</v>
      </c>
      <c r="H87" s="5" t="str">
        <f>CONCATENATE("94240258270")</f>
        <v>94240258270</v>
      </c>
      <c r="I87" s="5" t="s">
        <v>29</v>
      </c>
      <c r="J87" s="5" t="s">
        <v>35</v>
      </c>
      <c r="K87" s="5" t="str">
        <f>CONCATENATE("")</f>
        <v/>
      </c>
      <c r="L87" s="5" t="str">
        <f>CONCATENATE("11 11.2 4b")</f>
        <v>11 11.2 4b</v>
      </c>
      <c r="M87" s="5" t="str">
        <f>CONCATENATE("01364170413")</f>
        <v>01364170413</v>
      </c>
      <c r="N87" s="5" t="s">
        <v>165</v>
      </c>
      <c r="O87" s="5" t="s">
        <v>49</v>
      </c>
      <c r="P87" s="6">
        <v>44046</v>
      </c>
      <c r="Q87" s="5" t="s">
        <v>30</v>
      </c>
      <c r="R87" s="5" t="s">
        <v>31</v>
      </c>
      <c r="S87" s="5" t="s">
        <v>32</v>
      </c>
      <c r="T87" s="5"/>
      <c r="U87" s="5">
        <v>257.49</v>
      </c>
      <c r="V87" s="5">
        <v>111.03</v>
      </c>
      <c r="W87" s="5">
        <v>102.53</v>
      </c>
      <c r="X87" s="5">
        <v>0</v>
      </c>
      <c r="Y87" s="5">
        <v>43.93</v>
      </c>
    </row>
    <row r="88" spans="1:25" ht="24.75" x14ac:dyDescent="0.25">
      <c r="A88" s="5" t="s">
        <v>26</v>
      </c>
      <c r="B88" s="5" t="s">
        <v>27</v>
      </c>
      <c r="C88" s="5" t="s">
        <v>45</v>
      </c>
      <c r="D88" s="5" t="s">
        <v>52</v>
      </c>
      <c r="E88" s="5" t="s">
        <v>33</v>
      </c>
      <c r="F88" s="5" t="s">
        <v>166</v>
      </c>
      <c r="G88" s="5">
        <v>2019</v>
      </c>
      <c r="H88" s="5" t="str">
        <f>CONCATENATE("94240032295")</f>
        <v>94240032295</v>
      </c>
      <c r="I88" s="5" t="s">
        <v>29</v>
      </c>
      <c r="J88" s="5" t="s">
        <v>35</v>
      </c>
      <c r="K88" s="5" t="str">
        <f>CONCATENATE("")</f>
        <v/>
      </c>
      <c r="L88" s="5" t="str">
        <f>CONCATENATE("11 11.2 4b")</f>
        <v>11 11.2 4b</v>
      </c>
      <c r="M88" s="5" t="str">
        <f>CONCATENATE("DBLNNE54E55A491H")</f>
        <v>DBLNNE54E55A491H</v>
      </c>
      <c r="N88" s="5" t="s">
        <v>167</v>
      </c>
      <c r="O88" s="5" t="s">
        <v>49</v>
      </c>
      <c r="P88" s="6">
        <v>44046</v>
      </c>
      <c r="Q88" s="5" t="s">
        <v>30</v>
      </c>
      <c r="R88" s="5" t="s">
        <v>31</v>
      </c>
      <c r="S88" s="5" t="s">
        <v>32</v>
      </c>
      <c r="T88" s="5"/>
      <c r="U88" s="5">
        <v>217.47</v>
      </c>
      <c r="V88" s="5">
        <v>93.77</v>
      </c>
      <c r="W88" s="5">
        <v>86.6</v>
      </c>
      <c r="X88" s="5">
        <v>0</v>
      </c>
      <c r="Y88" s="5">
        <v>37.1</v>
      </c>
    </row>
    <row r="89" spans="1:25" ht="24.75" x14ac:dyDescent="0.25">
      <c r="A89" s="5" t="s">
        <v>26</v>
      </c>
      <c r="B89" s="5" t="s">
        <v>27</v>
      </c>
      <c r="C89" s="5" t="s">
        <v>45</v>
      </c>
      <c r="D89" s="5" t="s">
        <v>52</v>
      </c>
      <c r="E89" s="5" t="s">
        <v>28</v>
      </c>
      <c r="F89" s="5" t="s">
        <v>57</v>
      </c>
      <c r="G89" s="5">
        <v>2018</v>
      </c>
      <c r="H89" s="5" t="str">
        <f>CONCATENATE("84240957724")</f>
        <v>84240957724</v>
      </c>
      <c r="I89" s="5" t="s">
        <v>29</v>
      </c>
      <c r="J89" s="5" t="s">
        <v>35</v>
      </c>
      <c r="K89" s="5" t="str">
        <f>CONCATENATE("")</f>
        <v/>
      </c>
      <c r="L89" s="5" t="str">
        <f>CONCATENATE("11 11.2 4b")</f>
        <v>11 11.2 4b</v>
      </c>
      <c r="M89" s="5" t="str">
        <f>CONCATENATE("BTTMLE76M02F415X")</f>
        <v>BTTMLE76M02F415X</v>
      </c>
      <c r="N89" s="5" t="s">
        <v>168</v>
      </c>
      <c r="O89" s="5" t="s">
        <v>49</v>
      </c>
      <c r="P89" s="6">
        <v>44046</v>
      </c>
      <c r="Q89" s="5" t="s">
        <v>30</v>
      </c>
      <c r="R89" s="5" t="s">
        <v>31</v>
      </c>
      <c r="S89" s="5" t="s">
        <v>32</v>
      </c>
      <c r="T89" s="5"/>
      <c r="U89" s="7">
        <v>1125.6500000000001</v>
      </c>
      <c r="V89" s="5">
        <v>485.38</v>
      </c>
      <c r="W89" s="5">
        <v>448.23</v>
      </c>
      <c r="X89" s="5">
        <v>0</v>
      </c>
      <c r="Y89" s="5">
        <v>192.04</v>
      </c>
    </row>
    <row r="90" spans="1:25" ht="24.75" x14ac:dyDescent="0.25">
      <c r="A90" s="5" t="s">
        <v>26</v>
      </c>
      <c r="B90" s="5" t="s">
        <v>27</v>
      </c>
      <c r="C90" s="5" t="s">
        <v>45</v>
      </c>
      <c r="D90" s="5" t="s">
        <v>52</v>
      </c>
      <c r="E90" s="5" t="s">
        <v>28</v>
      </c>
      <c r="F90" s="5" t="s">
        <v>57</v>
      </c>
      <c r="G90" s="5">
        <v>2019</v>
      </c>
      <c r="H90" s="5" t="str">
        <f>CONCATENATE("94240791098")</f>
        <v>94240791098</v>
      </c>
      <c r="I90" s="5" t="s">
        <v>29</v>
      </c>
      <c r="J90" s="5" t="s">
        <v>35</v>
      </c>
      <c r="K90" s="5" t="str">
        <f>CONCATENATE("")</f>
        <v/>
      </c>
      <c r="L90" s="5" t="str">
        <f>CONCATENATE("11 11.2 4b")</f>
        <v>11 11.2 4b</v>
      </c>
      <c r="M90" s="5" t="str">
        <f>CONCATENATE("BTTMLE76M02F415X")</f>
        <v>BTTMLE76M02F415X</v>
      </c>
      <c r="N90" s="5" t="s">
        <v>168</v>
      </c>
      <c r="O90" s="5" t="s">
        <v>49</v>
      </c>
      <c r="P90" s="6">
        <v>44046</v>
      </c>
      <c r="Q90" s="5" t="s">
        <v>30</v>
      </c>
      <c r="R90" s="5" t="s">
        <v>31</v>
      </c>
      <c r="S90" s="5" t="s">
        <v>32</v>
      </c>
      <c r="T90" s="5"/>
      <c r="U90" s="7">
        <v>1184.8900000000001</v>
      </c>
      <c r="V90" s="5">
        <v>510.92</v>
      </c>
      <c r="W90" s="5">
        <v>471.82</v>
      </c>
      <c r="X90" s="5">
        <v>0</v>
      </c>
      <c r="Y90" s="5">
        <v>202.15</v>
      </c>
    </row>
    <row r="91" spans="1:25" x14ac:dyDescent="0.25">
      <c r="A91" s="5" t="s">
        <v>26</v>
      </c>
      <c r="B91" s="5" t="s">
        <v>27</v>
      </c>
      <c r="C91" s="5" t="s">
        <v>45</v>
      </c>
      <c r="D91" s="5" t="s">
        <v>46</v>
      </c>
      <c r="E91" s="5" t="s">
        <v>40</v>
      </c>
      <c r="F91" s="5" t="s">
        <v>129</v>
      </c>
      <c r="G91" s="5">
        <v>2018</v>
      </c>
      <c r="H91" s="5" t="str">
        <f>CONCATENATE("84241075385")</f>
        <v>84241075385</v>
      </c>
      <c r="I91" s="5" t="s">
        <v>29</v>
      </c>
      <c r="J91" s="5" t="s">
        <v>35</v>
      </c>
      <c r="K91" s="5" t="str">
        <f>CONCATENATE("")</f>
        <v/>
      </c>
      <c r="L91" s="5" t="str">
        <f>CONCATENATE("11 11.1 4b")</f>
        <v>11 11.1 4b</v>
      </c>
      <c r="M91" s="5" t="str">
        <f>CONCATENATE("01751240431")</f>
        <v>01751240431</v>
      </c>
      <c r="N91" s="5" t="s">
        <v>169</v>
      </c>
      <c r="O91" s="5" t="s">
        <v>49</v>
      </c>
      <c r="P91" s="6">
        <v>44046</v>
      </c>
      <c r="Q91" s="5" t="s">
        <v>30</v>
      </c>
      <c r="R91" s="5" t="s">
        <v>31</v>
      </c>
      <c r="S91" s="5" t="s">
        <v>32</v>
      </c>
      <c r="T91" s="5"/>
      <c r="U91" s="7">
        <v>44168.160000000003</v>
      </c>
      <c r="V91" s="7">
        <v>19045.310000000001</v>
      </c>
      <c r="W91" s="7">
        <v>17587.759999999998</v>
      </c>
      <c r="X91" s="5">
        <v>0</v>
      </c>
      <c r="Y91" s="7">
        <v>7535.09</v>
      </c>
    </row>
    <row r="92" spans="1:25" ht="24.75" x14ac:dyDescent="0.25">
      <c r="A92" s="5" t="s">
        <v>26</v>
      </c>
      <c r="B92" s="5" t="s">
        <v>27</v>
      </c>
      <c r="C92" s="5" t="s">
        <v>45</v>
      </c>
      <c r="D92" s="5" t="s">
        <v>52</v>
      </c>
      <c r="E92" s="5" t="s">
        <v>44</v>
      </c>
      <c r="F92" s="5" t="s">
        <v>44</v>
      </c>
      <c r="G92" s="5">
        <v>2019</v>
      </c>
      <c r="H92" s="5" t="str">
        <f>CONCATENATE("94240945793")</f>
        <v>94240945793</v>
      </c>
      <c r="I92" s="5" t="s">
        <v>34</v>
      </c>
      <c r="J92" s="5" t="s">
        <v>35</v>
      </c>
      <c r="K92" s="5" t="str">
        <f>CONCATENATE("")</f>
        <v/>
      </c>
      <c r="L92" s="5" t="str">
        <f>CONCATENATE("11 11.2 4b")</f>
        <v>11 11.2 4b</v>
      </c>
      <c r="M92" s="5" t="str">
        <f>CONCATENATE("FDLSMN82A30H769Q")</f>
        <v>FDLSMN82A30H769Q</v>
      </c>
      <c r="N92" s="5" t="s">
        <v>170</v>
      </c>
      <c r="O92" s="5" t="s">
        <v>49</v>
      </c>
      <c r="P92" s="6">
        <v>44046</v>
      </c>
      <c r="Q92" s="5" t="s">
        <v>30</v>
      </c>
      <c r="R92" s="5" t="s">
        <v>31</v>
      </c>
      <c r="S92" s="5" t="s">
        <v>32</v>
      </c>
      <c r="T92" s="5"/>
      <c r="U92" s="5">
        <v>780.68</v>
      </c>
      <c r="V92" s="5">
        <v>336.63</v>
      </c>
      <c r="W92" s="5">
        <v>310.87</v>
      </c>
      <c r="X92" s="5">
        <v>0</v>
      </c>
      <c r="Y92" s="5">
        <v>133.18</v>
      </c>
    </row>
    <row r="93" spans="1:25" ht="24.75" x14ac:dyDescent="0.25">
      <c r="A93" s="5" t="s">
        <v>26</v>
      </c>
      <c r="B93" s="5" t="s">
        <v>27</v>
      </c>
      <c r="C93" s="5" t="s">
        <v>45</v>
      </c>
      <c r="D93" s="5" t="s">
        <v>52</v>
      </c>
      <c r="E93" s="5" t="s">
        <v>44</v>
      </c>
      <c r="F93" s="5" t="s">
        <v>44</v>
      </c>
      <c r="G93" s="5">
        <v>2019</v>
      </c>
      <c r="H93" s="5" t="str">
        <f>CONCATENATE("94240916083")</f>
        <v>94240916083</v>
      </c>
      <c r="I93" s="5" t="s">
        <v>34</v>
      </c>
      <c r="J93" s="5" t="s">
        <v>35</v>
      </c>
      <c r="K93" s="5" t="str">
        <f>CONCATENATE("")</f>
        <v/>
      </c>
      <c r="L93" s="5" t="str">
        <f>CONCATENATE("11 11.2 4b")</f>
        <v>11 11.2 4b</v>
      </c>
      <c r="M93" s="5" t="str">
        <f>CONCATENATE("FDLSMN82A30H769Q")</f>
        <v>FDLSMN82A30H769Q</v>
      </c>
      <c r="N93" s="5" t="s">
        <v>170</v>
      </c>
      <c r="O93" s="5" t="s">
        <v>49</v>
      </c>
      <c r="P93" s="6">
        <v>44046</v>
      </c>
      <c r="Q93" s="5" t="s">
        <v>30</v>
      </c>
      <c r="R93" s="5" t="s">
        <v>31</v>
      </c>
      <c r="S93" s="5" t="s">
        <v>32</v>
      </c>
      <c r="T93" s="5"/>
      <c r="U93" s="7">
        <v>7957.37</v>
      </c>
      <c r="V93" s="7">
        <v>3431.22</v>
      </c>
      <c r="W93" s="7">
        <v>3168.62</v>
      </c>
      <c r="X93" s="5">
        <v>0</v>
      </c>
      <c r="Y93" s="7">
        <v>1357.53</v>
      </c>
    </row>
    <row r="94" spans="1:25" ht="24.75" x14ac:dyDescent="0.25">
      <c r="A94" s="5" t="s">
        <v>26</v>
      </c>
      <c r="B94" s="5" t="s">
        <v>42</v>
      </c>
      <c r="C94" s="5" t="s">
        <v>45</v>
      </c>
      <c r="D94" s="5" t="s">
        <v>62</v>
      </c>
      <c r="E94" s="5" t="s">
        <v>44</v>
      </c>
      <c r="F94" s="5" t="s">
        <v>44</v>
      </c>
      <c r="G94" s="5">
        <v>2017</v>
      </c>
      <c r="H94" s="5" t="str">
        <f>CONCATENATE("94270174454")</f>
        <v>94270174454</v>
      </c>
      <c r="I94" s="5" t="s">
        <v>29</v>
      </c>
      <c r="J94" s="5" t="s">
        <v>35</v>
      </c>
      <c r="K94" s="5" t="str">
        <f>CONCATENATE("")</f>
        <v/>
      </c>
      <c r="L94" s="5" t="str">
        <f>CONCATENATE("4 4.1 2a")</f>
        <v>4 4.1 2a</v>
      </c>
      <c r="M94" s="5" t="str">
        <f>CONCATENATE("LSSSFN83T26D451S")</f>
        <v>LSSSFN83T26D451S</v>
      </c>
      <c r="N94" s="5" t="s">
        <v>171</v>
      </c>
      <c r="O94" s="5" t="s">
        <v>172</v>
      </c>
      <c r="P94" s="6">
        <v>44047</v>
      </c>
      <c r="Q94" s="5" t="s">
        <v>30</v>
      </c>
      <c r="R94" s="5" t="s">
        <v>31</v>
      </c>
      <c r="S94" s="5" t="s">
        <v>32</v>
      </c>
      <c r="T94" s="5"/>
      <c r="U94" s="7">
        <v>11180.13</v>
      </c>
      <c r="V94" s="7">
        <v>4820.87</v>
      </c>
      <c r="W94" s="7">
        <v>4451.93</v>
      </c>
      <c r="X94" s="5">
        <v>0</v>
      </c>
      <c r="Y94" s="7">
        <v>1907.33</v>
      </c>
    </row>
    <row r="95" spans="1:25" ht="24.75" x14ac:dyDescent="0.25">
      <c r="A95" s="5" t="s">
        <v>26</v>
      </c>
      <c r="B95" s="5" t="s">
        <v>42</v>
      </c>
      <c r="C95" s="5" t="s">
        <v>45</v>
      </c>
      <c r="D95" s="5" t="s">
        <v>73</v>
      </c>
      <c r="E95" s="5" t="s">
        <v>44</v>
      </c>
      <c r="F95" s="5" t="s">
        <v>44</v>
      </c>
      <c r="G95" s="5">
        <v>2017</v>
      </c>
      <c r="H95" s="5" t="str">
        <f>CONCATENATE("94270174413")</f>
        <v>94270174413</v>
      </c>
      <c r="I95" s="5" t="s">
        <v>29</v>
      </c>
      <c r="J95" s="5" t="s">
        <v>35</v>
      </c>
      <c r="K95" s="5" t="str">
        <f>CONCATENATE("")</f>
        <v/>
      </c>
      <c r="L95" s="5" t="str">
        <f>CONCATENATE("4 4.1 2a")</f>
        <v>4 4.1 2a</v>
      </c>
      <c r="M95" s="5" t="str">
        <f>CONCATENATE("PLNNGL95C07B352J")</f>
        <v>PLNNGL95C07B352J</v>
      </c>
      <c r="N95" s="5" t="s">
        <v>173</v>
      </c>
      <c r="O95" s="5" t="s">
        <v>172</v>
      </c>
      <c r="P95" s="6">
        <v>44047</v>
      </c>
      <c r="Q95" s="5" t="s">
        <v>30</v>
      </c>
      <c r="R95" s="5" t="s">
        <v>31</v>
      </c>
      <c r="S95" s="5" t="s">
        <v>32</v>
      </c>
      <c r="T95" s="5"/>
      <c r="U95" s="7">
        <v>18025.75</v>
      </c>
      <c r="V95" s="7">
        <v>7772.7</v>
      </c>
      <c r="W95" s="7">
        <v>7177.85</v>
      </c>
      <c r="X95" s="5">
        <v>0</v>
      </c>
      <c r="Y95" s="7">
        <v>3075.2</v>
      </c>
    </row>
    <row r="96" spans="1:25" ht="24.75" x14ac:dyDescent="0.25">
      <c r="A96" s="5" t="s">
        <v>26</v>
      </c>
      <c r="B96" s="5" t="s">
        <v>42</v>
      </c>
      <c r="C96" s="5" t="s">
        <v>45</v>
      </c>
      <c r="D96" s="5" t="s">
        <v>52</v>
      </c>
      <c r="E96" s="5" t="s">
        <v>44</v>
      </c>
      <c r="F96" s="5" t="s">
        <v>44</v>
      </c>
      <c r="G96" s="5">
        <v>2017</v>
      </c>
      <c r="H96" s="5" t="str">
        <f>CONCATENATE("04270061197")</f>
        <v>04270061197</v>
      </c>
      <c r="I96" s="5" t="s">
        <v>29</v>
      </c>
      <c r="J96" s="5" t="s">
        <v>35</v>
      </c>
      <c r="K96" s="5" t="str">
        <f>CONCATENATE("")</f>
        <v/>
      </c>
      <c r="L96" s="5" t="str">
        <f>CONCATENATE("4 4.1 2a")</f>
        <v>4 4.1 2a</v>
      </c>
      <c r="M96" s="5" t="str">
        <f>CONCATENATE("SRVNDR84C02A252U")</f>
        <v>SRVNDR84C02A252U</v>
      </c>
      <c r="N96" s="5" t="s">
        <v>55</v>
      </c>
      <c r="O96" s="5" t="s">
        <v>174</v>
      </c>
      <c r="P96" s="6">
        <v>44046</v>
      </c>
      <c r="Q96" s="5" t="s">
        <v>30</v>
      </c>
      <c r="R96" s="5" t="s">
        <v>31</v>
      </c>
      <c r="S96" s="5" t="s">
        <v>32</v>
      </c>
      <c r="T96" s="5"/>
      <c r="U96" s="7">
        <v>20164.62</v>
      </c>
      <c r="V96" s="7">
        <v>8694.98</v>
      </c>
      <c r="W96" s="7">
        <v>8029.55</v>
      </c>
      <c r="X96" s="5">
        <v>0</v>
      </c>
      <c r="Y96" s="7">
        <v>3440.09</v>
      </c>
    </row>
    <row r="97" spans="1:25" x14ac:dyDescent="0.25">
      <c r="A97" s="5" t="s">
        <v>26</v>
      </c>
      <c r="B97" s="5" t="s">
        <v>42</v>
      </c>
      <c r="C97" s="5" t="s">
        <v>45</v>
      </c>
      <c r="D97" s="5" t="s">
        <v>45</v>
      </c>
      <c r="E97" s="5" t="s">
        <v>44</v>
      </c>
      <c r="F97" s="5" t="s">
        <v>44</v>
      </c>
      <c r="G97" s="5">
        <v>2017</v>
      </c>
      <c r="H97" s="5" t="str">
        <f>CONCATENATE("94270174462")</f>
        <v>94270174462</v>
      </c>
      <c r="I97" s="5" t="s">
        <v>29</v>
      </c>
      <c r="J97" s="5" t="s">
        <v>35</v>
      </c>
      <c r="K97" s="5" t="str">
        <f>CONCATENATE("")</f>
        <v/>
      </c>
      <c r="L97" s="5" t="str">
        <f>CONCATENATE("19 19.2 6b")</f>
        <v>19 19.2 6b</v>
      </c>
      <c r="M97" s="5" t="str">
        <f>CONCATENATE("90045580447")</f>
        <v>90045580447</v>
      </c>
      <c r="N97" s="5" t="s">
        <v>175</v>
      </c>
      <c r="O97" s="5" t="s">
        <v>176</v>
      </c>
      <c r="P97" s="6">
        <v>44047</v>
      </c>
      <c r="Q97" s="5" t="s">
        <v>30</v>
      </c>
      <c r="R97" s="5" t="s">
        <v>31</v>
      </c>
      <c r="S97" s="5" t="s">
        <v>32</v>
      </c>
      <c r="T97" s="5"/>
      <c r="U97" s="7">
        <v>79019.06</v>
      </c>
      <c r="V97" s="7">
        <v>34073.019999999997</v>
      </c>
      <c r="W97" s="7">
        <v>31465.39</v>
      </c>
      <c r="X97" s="5">
        <v>0</v>
      </c>
      <c r="Y97" s="7">
        <v>13480.65</v>
      </c>
    </row>
    <row r="98" spans="1:25" ht="24.75" x14ac:dyDescent="0.25">
      <c r="A98" s="5" t="s">
        <v>26</v>
      </c>
      <c r="B98" s="5" t="s">
        <v>42</v>
      </c>
      <c r="C98" s="5" t="s">
        <v>45</v>
      </c>
      <c r="D98" s="5" t="s">
        <v>62</v>
      </c>
      <c r="E98" s="5" t="s">
        <v>44</v>
      </c>
      <c r="F98" s="5" t="s">
        <v>44</v>
      </c>
      <c r="G98" s="5">
        <v>2017</v>
      </c>
      <c r="H98" s="5" t="str">
        <f>CONCATENATE("94270174439")</f>
        <v>94270174439</v>
      </c>
      <c r="I98" s="5" t="s">
        <v>29</v>
      </c>
      <c r="J98" s="5" t="s">
        <v>35</v>
      </c>
      <c r="K98" s="5" t="str">
        <f>CONCATENATE("")</f>
        <v/>
      </c>
      <c r="L98" s="5" t="str">
        <f>CONCATENATE("6 6.1 2b")</f>
        <v>6 6.1 2b</v>
      </c>
      <c r="M98" s="5" t="str">
        <f>CONCATENATE("LSSSFN83T26D451S")</f>
        <v>LSSSFN83T26D451S</v>
      </c>
      <c r="N98" s="5" t="s">
        <v>171</v>
      </c>
      <c r="O98" s="5" t="s">
        <v>177</v>
      </c>
      <c r="P98" s="6">
        <v>44047</v>
      </c>
      <c r="Q98" s="5" t="s">
        <v>30</v>
      </c>
      <c r="R98" s="5" t="s">
        <v>31</v>
      </c>
      <c r="S98" s="5" t="s">
        <v>32</v>
      </c>
      <c r="T98" s="5"/>
      <c r="U98" s="7">
        <v>21000</v>
      </c>
      <c r="V98" s="7">
        <v>9055.2000000000007</v>
      </c>
      <c r="W98" s="7">
        <v>8362.2000000000007</v>
      </c>
      <c r="X98" s="5">
        <v>0</v>
      </c>
      <c r="Y98" s="7">
        <v>3582.6</v>
      </c>
    </row>
    <row r="99" spans="1:25" ht="24.75" x14ac:dyDescent="0.25">
      <c r="A99" s="5" t="s">
        <v>26</v>
      </c>
      <c r="B99" s="5" t="s">
        <v>42</v>
      </c>
      <c r="C99" s="5" t="s">
        <v>45</v>
      </c>
      <c r="D99" s="5" t="s">
        <v>73</v>
      </c>
      <c r="E99" s="5" t="s">
        <v>44</v>
      </c>
      <c r="F99" s="5" t="s">
        <v>44</v>
      </c>
      <c r="G99" s="5">
        <v>2017</v>
      </c>
      <c r="H99" s="5" t="str">
        <f>CONCATENATE("94270174405")</f>
        <v>94270174405</v>
      </c>
      <c r="I99" s="5" t="s">
        <v>29</v>
      </c>
      <c r="J99" s="5" t="s">
        <v>35</v>
      </c>
      <c r="K99" s="5" t="str">
        <f>CONCATENATE("")</f>
        <v/>
      </c>
      <c r="L99" s="5" t="str">
        <f>CONCATENATE("6 6.1 2b")</f>
        <v>6 6.1 2b</v>
      </c>
      <c r="M99" s="5" t="str">
        <f>CONCATENATE("PLNNGL95C07B352J")</f>
        <v>PLNNGL95C07B352J</v>
      </c>
      <c r="N99" s="5" t="s">
        <v>173</v>
      </c>
      <c r="O99" s="5" t="s">
        <v>177</v>
      </c>
      <c r="P99" s="6">
        <v>44047</v>
      </c>
      <c r="Q99" s="5" t="s">
        <v>30</v>
      </c>
      <c r="R99" s="5" t="s">
        <v>31</v>
      </c>
      <c r="S99" s="5" t="s">
        <v>32</v>
      </c>
      <c r="T99" s="5"/>
      <c r="U99" s="7">
        <v>21000</v>
      </c>
      <c r="V99" s="7">
        <v>9055.2000000000007</v>
      </c>
      <c r="W99" s="7">
        <v>8362.2000000000007</v>
      </c>
      <c r="X99" s="5">
        <v>0</v>
      </c>
      <c r="Y99" s="7">
        <v>3582.6</v>
      </c>
    </row>
    <row r="100" spans="1:25" ht="24.75" x14ac:dyDescent="0.25">
      <c r="A100" s="5" t="s">
        <v>26</v>
      </c>
      <c r="B100" s="5" t="s">
        <v>42</v>
      </c>
      <c r="C100" s="5" t="s">
        <v>45</v>
      </c>
      <c r="D100" s="5" t="s">
        <v>52</v>
      </c>
      <c r="E100" s="5" t="s">
        <v>28</v>
      </c>
      <c r="F100" s="5" t="s">
        <v>91</v>
      </c>
      <c r="G100" s="5">
        <v>2017</v>
      </c>
      <c r="H100" s="5" t="str">
        <f>CONCATENATE("04270091830")</f>
        <v>04270091830</v>
      </c>
      <c r="I100" s="5" t="s">
        <v>29</v>
      </c>
      <c r="J100" s="5" t="s">
        <v>35</v>
      </c>
      <c r="K100" s="5" t="str">
        <f>CONCATENATE("")</f>
        <v/>
      </c>
      <c r="L100" s="5" t="str">
        <f>CONCATENATE("6 6.1 2b")</f>
        <v>6 6.1 2b</v>
      </c>
      <c r="M100" s="5" t="str">
        <f>CONCATENATE("02341960447")</f>
        <v>02341960447</v>
      </c>
      <c r="N100" s="5" t="s">
        <v>178</v>
      </c>
      <c r="O100" s="5" t="s">
        <v>179</v>
      </c>
      <c r="P100" s="6">
        <v>44046</v>
      </c>
      <c r="Q100" s="5" t="s">
        <v>30</v>
      </c>
      <c r="R100" s="5" t="s">
        <v>43</v>
      </c>
      <c r="S100" s="5" t="s">
        <v>32</v>
      </c>
      <c r="T100" s="5"/>
      <c r="U100" s="7">
        <v>42000</v>
      </c>
      <c r="V100" s="7">
        <v>18110.400000000001</v>
      </c>
      <c r="W100" s="7">
        <v>16724.400000000001</v>
      </c>
      <c r="X100" s="5">
        <v>0</v>
      </c>
      <c r="Y100" s="7">
        <v>7165.2</v>
      </c>
    </row>
    <row r="101" spans="1:25" ht="24.75" x14ac:dyDescent="0.25">
      <c r="A101" s="5" t="s">
        <v>26</v>
      </c>
      <c r="B101" s="5" t="s">
        <v>42</v>
      </c>
      <c r="C101" s="5" t="s">
        <v>45</v>
      </c>
      <c r="D101" s="5" t="s">
        <v>52</v>
      </c>
      <c r="E101" s="5" t="s">
        <v>28</v>
      </c>
      <c r="F101" s="5" t="s">
        <v>91</v>
      </c>
      <c r="G101" s="5">
        <v>2017</v>
      </c>
      <c r="H101" s="5" t="str">
        <f>CONCATENATE("04270079074")</f>
        <v>04270079074</v>
      </c>
      <c r="I101" s="5" t="s">
        <v>29</v>
      </c>
      <c r="J101" s="5" t="s">
        <v>35</v>
      </c>
      <c r="K101" s="5" t="str">
        <f>CONCATENATE("")</f>
        <v/>
      </c>
      <c r="L101" s="5" t="str">
        <f>CONCATENATE("6 6.1 2b")</f>
        <v>6 6.1 2b</v>
      </c>
      <c r="M101" s="5" t="str">
        <f>CONCATENATE("SSTLSS94A02A462G")</f>
        <v>SSTLSS94A02A462G</v>
      </c>
      <c r="N101" s="5" t="s">
        <v>180</v>
      </c>
      <c r="O101" s="5" t="s">
        <v>179</v>
      </c>
      <c r="P101" s="6">
        <v>44046</v>
      </c>
      <c r="Q101" s="5" t="s">
        <v>30</v>
      </c>
      <c r="R101" s="5" t="s">
        <v>43</v>
      </c>
      <c r="S101" s="5" t="s">
        <v>32</v>
      </c>
      <c r="T101" s="5"/>
      <c r="U101" s="7">
        <v>42000</v>
      </c>
      <c r="V101" s="7">
        <v>18110.400000000001</v>
      </c>
      <c r="W101" s="7">
        <v>16724.400000000001</v>
      </c>
      <c r="X101" s="5">
        <v>0</v>
      </c>
      <c r="Y101" s="7">
        <v>7165.2</v>
      </c>
    </row>
    <row r="102" spans="1:25" x14ac:dyDescent="0.25">
      <c r="A102" s="5" t="s">
        <v>26</v>
      </c>
      <c r="B102" s="5" t="s">
        <v>42</v>
      </c>
      <c r="C102" s="5" t="s">
        <v>45</v>
      </c>
      <c r="D102" s="5" t="s">
        <v>46</v>
      </c>
      <c r="E102" s="5" t="s">
        <v>44</v>
      </c>
      <c r="F102" s="5" t="s">
        <v>44</v>
      </c>
      <c r="G102" s="5">
        <v>2017</v>
      </c>
      <c r="H102" s="5" t="str">
        <f>CONCATENATE("94270174306")</f>
        <v>94270174306</v>
      </c>
      <c r="I102" s="5" t="s">
        <v>29</v>
      </c>
      <c r="J102" s="5" t="s">
        <v>35</v>
      </c>
      <c r="K102" s="5" t="str">
        <f>CONCATENATE("")</f>
        <v/>
      </c>
      <c r="L102" s="5" t="str">
        <f>CONCATENATE("8 8.1 5e")</f>
        <v>8 8.1 5e</v>
      </c>
      <c r="M102" s="5" t="str">
        <f>CONCATENATE("BLDNDR77P22B474L")</f>
        <v>BLDNDR77P22B474L</v>
      </c>
      <c r="N102" s="5" t="s">
        <v>181</v>
      </c>
      <c r="O102" s="5" t="s">
        <v>182</v>
      </c>
      <c r="P102" s="6">
        <v>44042</v>
      </c>
      <c r="Q102" s="5" t="s">
        <v>30</v>
      </c>
      <c r="R102" s="5" t="s">
        <v>31</v>
      </c>
      <c r="S102" s="5" t="s">
        <v>32</v>
      </c>
      <c r="T102" s="5"/>
      <c r="U102" s="7">
        <v>15051.44</v>
      </c>
      <c r="V102" s="7">
        <v>6490.18</v>
      </c>
      <c r="W102" s="7">
        <v>5993.48</v>
      </c>
      <c r="X102" s="5">
        <v>0</v>
      </c>
      <c r="Y102" s="7">
        <v>2567.7800000000002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2020-08-06T21:27:46Z</dcterms:created>
  <dcterms:modified xsi:type="dcterms:W3CDTF">2020-08-06T21:28:27Z</dcterms:modified>
</cp:coreProperties>
</file>