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73\"/>
    </mc:Choice>
  </mc:AlternateContent>
  <xr:revisionPtr revIDLastSave="0" documentId="8_{DEB82162-3685-424B-840E-F09678956BE7}" xr6:coauthVersionLast="45" xr6:coauthVersionMax="45" xr10:uidLastSave="{00000000-0000-0000-0000-000000000000}"/>
  <bookViews>
    <workbookView xWindow="-120" yWindow="-120" windowWidth="20730" windowHeight="11160" xr2:uid="{72339DFE-BC9A-47D4-A712-3A46A902030D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59" i="1" l="1"/>
  <c r="L359" i="1"/>
  <c r="K359" i="1"/>
  <c r="H359" i="1"/>
  <c r="M358" i="1"/>
  <c r="L358" i="1"/>
  <c r="K358" i="1"/>
  <c r="H358" i="1"/>
  <c r="M357" i="1"/>
  <c r="L357" i="1"/>
  <c r="K357" i="1"/>
  <c r="H357" i="1"/>
  <c r="M356" i="1"/>
  <c r="L356" i="1"/>
  <c r="K356" i="1"/>
  <c r="H356" i="1"/>
  <c r="M355" i="1"/>
  <c r="L355" i="1"/>
  <c r="K355" i="1"/>
  <c r="H355" i="1"/>
  <c r="M354" i="1"/>
  <c r="L354" i="1"/>
  <c r="K354" i="1"/>
  <c r="H354" i="1"/>
  <c r="M353" i="1"/>
  <c r="L353" i="1"/>
  <c r="K353" i="1"/>
  <c r="H353" i="1"/>
  <c r="M352" i="1"/>
  <c r="L352" i="1"/>
  <c r="K352" i="1"/>
  <c r="H352" i="1"/>
  <c r="M351" i="1"/>
  <c r="L351" i="1"/>
  <c r="K351" i="1"/>
  <c r="H351" i="1"/>
  <c r="M350" i="1"/>
  <c r="L350" i="1"/>
  <c r="K350" i="1"/>
  <c r="H350" i="1"/>
  <c r="M349" i="1"/>
  <c r="L349" i="1"/>
  <c r="K349" i="1"/>
  <c r="H349" i="1"/>
  <c r="M348" i="1"/>
  <c r="L348" i="1"/>
  <c r="K348" i="1"/>
  <c r="H348" i="1"/>
  <c r="M347" i="1"/>
  <c r="L347" i="1"/>
  <c r="K347" i="1"/>
  <c r="H347" i="1"/>
  <c r="M346" i="1"/>
  <c r="L346" i="1"/>
  <c r="K346" i="1"/>
  <c r="H346" i="1"/>
  <c r="M345" i="1"/>
  <c r="L345" i="1"/>
  <c r="K345" i="1"/>
  <c r="H345" i="1"/>
  <c r="M344" i="1"/>
  <c r="L344" i="1"/>
  <c r="K344" i="1"/>
  <c r="H344" i="1"/>
  <c r="M343" i="1"/>
  <c r="L343" i="1"/>
  <c r="K343" i="1"/>
  <c r="H343" i="1"/>
  <c r="M342" i="1"/>
  <c r="L342" i="1"/>
  <c r="K342" i="1"/>
  <c r="H342" i="1"/>
  <c r="M341" i="1"/>
  <c r="L341" i="1"/>
  <c r="K341" i="1"/>
  <c r="H341" i="1"/>
  <c r="M340" i="1"/>
  <c r="L340" i="1"/>
  <c r="K340" i="1"/>
  <c r="H340" i="1"/>
  <c r="M339" i="1"/>
  <c r="L339" i="1"/>
  <c r="K339" i="1"/>
  <c r="H339" i="1"/>
  <c r="M338" i="1"/>
  <c r="L338" i="1"/>
  <c r="K338" i="1"/>
  <c r="H338" i="1"/>
  <c r="M337" i="1"/>
  <c r="L337" i="1"/>
  <c r="K337" i="1"/>
  <c r="H337" i="1"/>
  <c r="M336" i="1"/>
  <c r="L336" i="1"/>
  <c r="K336" i="1"/>
  <c r="H336" i="1"/>
  <c r="M335" i="1"/>
  <c r="L335" i="1"/>
  <c r="K335" i="1"/>
  <c r="H335" i="1"/>
  <c r="M334" i="1"/>
  <c r="L334" i="1"/>
  <c r="K334" i="1"/>
  <c r="H334" i="1"/>
  <c r="M333" i="1"/>
  <c r="L333" i="1"/>
  <c r="K333" i="1"/>
  <c r="H333" i="1"/>
  <c r="M332" i="1"/>
  <c r="L332" i="1"/>
  <c r="K332" i="1"/>
  <c r="H332" i="1"/>
  <c r="M331" i="1"/>
  <c r="L331" i="1"/>
  <c r="K331" i="1"/>
  <c r="H331" i="1"/>
  <c r="M330" i="1"/>
  <c r="L330" i="1"/>
  <c r="K330" i="1"/>
  <c r="H330" i="1"/>
  <c r="M329" i="1"/>
  <c r="L329" i="1"/>
  <c r="K329" i="1"/>
  <c r="H329" i="1"/>
  <c r="M328" i="1"/>
  <c r="L328" i="1"/>
  <c r="K328" i="1"/>
  <c r="H328" i="1"/>
  <c r="M327" i="1"/>
  <c r="L327" i="1"/>
  <c r="K327" i="1"/>
  <c r="H327" i="1"/>
  <c r="M326" i="1"/>
  <c r="L326" i="1"/>
  <c r="K326" i="1"/>
  <c r="H326" i="1"/>
  <c r="M325" i="1"/>
  <c r="L325" i="1"/>
  <c r="K325" i="1"/>
  <c r="H325" i="1"/>
  <c r="M324" i="1"/>
  <c r="L324" i="1"/>
  <c r="K324" i="1"/>
  <c r="H324" i="1"/>
  <c r="M323" i="1"/>
  <c r="L323" i="1"/>
  <c r="K323" i="1"/>
  <c r="H323" i="1"/>
  <c r="M322" i="1"/>
  <c r="L322" i="1"/>
  <c r="K322" i="1"/>
  <c r="H322" i="1"/>
  <c r="M321" i="1"/>
  <c r="L321" i="1"/>
  <c r="K321" i="1"/>
  <c r="H321" i="1"/>
  <c r="M320" i="1"/>
  <c r="L320" i="1"/>
  <c r="K320" i="1"/>
  <c r="H320" i="1"/>
  <c r="M319" i="1"/>
  <c r="L319" i="1"/>
  <c r="K319" i="1"/>
  <c r="H319" i="1"/>
  <c r="M318" i="1"/>
  <c r="L318" i="1"/>
  <c r="K318" i="1"/>
  <c r="H318" i="1"/>
  <c r="M317" i="1"/>
  <c r="L317" i="1"/>
  <c r="K317" i="1"/>
  <c r="H317" i="1"/>
  <c r="M316" i="1"/>
  <c r="L316" i="1"/>
  <c r="K316" i="1"/>
  <c r="H316" i="1"/>
  <c r="M315" i="1"/>
  <c r="L315" i="1"/>
  <c r="K315" i="1"/>
  <c r="H315" i="1"/>
  <c r="M314" i="1"/>
  <c r="L314" i="1"/>
  <c r="K314" i="1"/>
  <c r="H314" i="1"/>
  <c r="M313" i="1"/>
  <c r="L313" i="1"/>
  <c r="K313" i="1"/>
  <c r="H313" i="1"/>
  <c r="M312" i="1"/>
  <c r="L312" i="1"/>
  <c r="K312" i="1"/>
  <c r="H312" i="1"/>
  <c r="M311" i="1"/>
  <c r="L311" i="1"/>
  <c r="K311" i="1"/>
  <c r="H311" i="1"/>
  <c r="M310" i="1"/>
  <c r="L310" i="1"/>
  <c r="K310" i="1"/>
  <c r="H310" i="1"/>
  <c r="M309" i="1"/>
  <c r="L309" i="1"/>
  <c r="K309" i="1"/>
  <c r="H309" i="1"/>
  <c r="M308" i="1"/>
  <c r="L308" i="1"/>
  <c r="K308" i="1"/>
  <c r="H308" i="1"/>
  <c r="M307" i="1"/>
  <c r="L307" i="1"/>
  <c r="K307" i="1"/>
  <c r="H307" i="1"/>
  <c r="M306" i="1"/>
  <c r="L306" i="1"/>
  <c r="K306" i="1"/>
  <c r="H306" i="1"/>
  <c r="M305" i="1"/>
  <c r="L305" i="1"/>
  <c r="K305" i="1"/>
  <c r="H305" i="1"/>
  <c r="M304" i="1"/>
  <c r="L304" i="1"/>
  <c r="K304" i="1"/>
  <c r="H304" i="1"/>
  <c r="M303" i="1"/>
  <c r="L303" i="1"/>
  <c r="K303" i="1"/>
  <c r="H303" i="1"/>
  <c r="M302" i="1"/>
  <c r="L302" i="1"/>
  <c r="K302" i="1"/>
  <c r="H302" i="1"/>
  <c r="M301" i="1"/>
  <c r="L301" i="1"/>
  <c r="K301" i="1"/>
  <c r="H301" i="1"/>
  <c r="M300" i="1"/>
  <c r="L300" i="1"/>
  <c r="K300" i="1"/>
  <c r="H300" i="1"/>
  <c r="M299" i="1"/>
  <c r="L299" i="1"/>
  <c r="K299" i="1"/>
  <c r="H299" i="1"/>
  <c r="M298" i="1"/>
  <c r="L298" i="1"/>
  <c r="K298" i="1"/>
  <c r="H298" i="1"/>
  <c r="M297" i="1"/>
  <c r="L297" i="1"/>
  <c r="K297" i="1"/>
  <c r="H297" i="1"/>
  <c r="M296" i="1"/>
  <c r="L296" i="1"/>
  <c r="K296" i="1"/>
  <c r="H296" i="1"/>
  <c r="M295" i="1"/>
  <c r="L295" i="1"/>
  <c r="K295" i="1"/>
  <c r="H295" i="1"/>
  <c r="M294" i="1"/>
  <c r="L294" i="1"/>
  <c r="K294" i="1"/>
  <c r="H294" i="1"/>
  <c r="M293" i="1"/>
  <c r="L293" i="1"/>
  <c r="K293" i="1"/>
  <c r="H293" i="1"/>
  <c r="M292" i="1"/>
  <c r="L292" i="1"/>
  <c r="K292" i="1"/>
  <c r="H292" i="1"/>
  <c r="M291" i="1"/>
  <c r="L291" i="1"/>
  <c r="K291" i="1"/>
  <c r="H291" i="1"/>
  <c r="M290" i="1"/>
  <c r="L290" i="1"/>
  <c r="K290" i="1"/>
  <c r="H290" i="1"/>
  <c r="M289" i="1"/>
  <c r="L289" i="1"/>
  <c r="K289" i="1"/>
  <c r="H289" i="1"/>
  <c r="M288" i="1"/>
  <c r="L288" i="1"/>
  <c r="K288" i="1"/>
  <c r="H288" i="1"/>
  <c r="M287" i="1"/>
  <c r="L287" i="1"/>
  <c r="K287" i="1"/>
  <c r="H287" i="1"/>
  <c r="M286" i="1"/>
  <c r="L286" i="1"/>
  <c r="K286" i="1"/>
  <c r="H286" i="1"/>
  <c r="M285" i="1"/>
  <c r="L285" i="1"/>
  <c r="K285" i="1"/>
  <c r="H285" i="1"/>
  <c r="M284" i="1"/>
  <c r="L284" i="1"/>
  <c r="K284" i="1"/>
  <c r="H284" i="1"/>
  <c r="M283" i="1"/>
  <c r="L283" i="1"/>
  <c r="K283" i="1"/>
  <c r="H283" i="1"/>
  <c r="M282" i="1"/>
  <c r="L282" i="1"/>
  <c r="K282" i="1"/>
  <c r="H282" i="1"/>
  <c r="M281" i="1"/>
  <c r="L281" i="1"/>
  <c r="K281" i="1"/>
  <c r="H281" i="1"/>
  <c r="M280" i="1"/>
  <c r="L280" i="1"/>
  <c r="K280" i="1"/>
  <c r="H280" i="1"/>
  <c r="M279" i="1"/>
  <c r="L279" i="1"/>
  <c r="K279" i="1"/>
  <c r="H279" i="1"/>
  <c r="M278" i="1"/>
  <c r="L278" i="1"/>
  <c r="K278" i="1"/>
  <c r="H278" i="1"/>
  <c r="M277" i="1"/>
  <c r="L277" i="1"/>
  <c r="K277" i="1"/>
  <c r="H277" i="1"/>
  <c r="M276" i="1"/>
  <c r="L276" i="1"/>
  <c r="K276" i="1"/>
  <c r="H276" i="1"/>
  <c r="M275" i="1"/>
  <c r="L275" i="1"/>
  <c r="K275" i="1"/>
  <c r="H275" i="1"/>
  <c r="M274" i="1"/>
  <c r="L274" i="1"/>
  <c r="K274" i="1"/>
  <c r="H274" i="1"/>
  <c r="M273" i="1"/>
  <c r="L273" i="1"/>
  <c r="K273" i="1"/>
  <c r="H273" i="1"/>
  <c r="M272" i="1"/>
  <c r="L272" i="1"/>
  <c r="K272" i="1"/>
  <c r="H272" i="1"/>
  <c r="M271" i="1"/>
  <c r="L271" i="1"/>
  <c r="K271" i="1"/>
  <c r="H271" i="1"/>
  <c r="M270" i="1"/>
  <c r="L270" i="1"/>
  <c r="K270" i="1"/>
  <c r="H270" i="1"/>
  <c r="M269" i="1"/>
  <c r="L269" i="1"/>
  <c r="K269" i="1"/>
  <c r="H269" i="1"/>
  <c r="M268" i="1"/>
  <c r="L268" i="1"/>
  <c r="K268" i="1"/>
  <c r="H268" i="1"/>
  <c r="M267" i="1"/>
  <c r="L267" i="1"/>
  <c r="K267" i="1"/>
  <c r="H267" i="1"/>
  <c r="M266" i="1"/>
  <c r="L266" i="1"/>
  <c r="K266" i="1"/>
  <c r="H266" i="1"/>
  <c r="M265" i="1"/>
  <c r="L265" i="1"/>
  <c r="K265" i="1"/>
  <c r="H265" i="1"/>
  <c r="M264" i="1"/>
  <c r="L264" i="1"/>
  <c r="K264" i="1"/>
  <c r="H264" i="1"/>
  <c r="M263" i="1"/>
  <c r="L263" i="1"/>
  <c r="K263" i="1"/>
  <c r="H263" i="1"/>
  <c r="M262" i="1"/>
  <c r="L262" i="1"/>
  <c r="K262" i="1"/>
  <c r="H262" i="1"/>
  <c r="M261" i="1"/>
  <c r="L261" i="1"/>
  <c r="K261" i="1"/>
  <c r="H261" i="1"/>
  <c r="M260" i="1"/>
  <c r="L260" i="1"/>
  <c r="K260" i="1"/>
  <c r="H260" i="1"/>
  <c r="M259" i="1"/>
  <c r="L259" i="1"/>
  <c r="K259" i="1"/>
  <c r="H259" i="1"/>
  <c r="M258" i="1"/>
  <c r="L258" i="1"/>
  <c r="K258" i="1"/>
  <c r="H258" i="1"/>
  <c r="M257" i="1"/>
  <c r="L257" i="1"/>
  <c r="K257" i="1"/>
  <c r="H257" i="1"/>
  <c r="M256" i="1"/>
  <c r="L256" i="1"/>
  <c r="K256" i="1"/>
  <c r="H256" i="1"/>
  <c r="M255" i="1"/>
  <c r="L255" i="1"/>
  <c r="K255" i="1"/>
  <c r="H255" i="1"/>
  <c r="M254" i="1"/>
  <c r="L254" i="1"/>
  <c r="K254" i="1"/>
  <c r="H254" i="1"/>
  <c r="M253" i="1"/>
  <c r="L253" i="1"/>
  <c r="K253" i="1"/>
  <c r="H253" i="1"/>
  <c r="M252" i="1"/>
  <c r="L252" i="1"/>
  <c r="K252" i="1"/>
  <c r="H252" i="1"/>
  <c r="M251" i="1"/>
  <c r="L251" i="1"/>
  <c r="K251" i="1"/>
  <c r="H251" i="1"/>
  <c r="M250" i="1"/>
  <c r="L250" i="1"/>
  <c r="K250" i="1"/>
  <c r="H250" i="1"/>
  <c r="M249" i="1"/>
  <c r="L249" i="1"/>
  <c r="K249" i="1"/>
  <c r="H249" i="1"/>
  <c r="M248" i="1"/>
  <c r="L248" i="1"/>
  <c r="K248" i="1"/>
  <c r="H248" i="1"/>
  <c r="M247" i="1"/>
  <c r="L247" i="1"/>
  <c r="K247" i="1"/>
  <c r="H247" i="1"/>
  <c r="M246" i="1"/>
  <c r="L246" i="1"/>
  <c r="K246" i="1"/>
  <c r="H246" i="1"/>
  <c r="M245" i="1"/>
  <c r="L245" i="1"/>
  <c r="K245" i="1"/>
  <c r="H245" i="1"/>
  <c r="M244" i="1"/>
  <c r="L244" i="1"/>
  <c r="K244" i="1"/>
  <c r="H244" i="1"/>
  <c r="M243" i="1"/>
  <c r="L243" i="1"/>
  <c r="K243" i="1"/>
  <c r="H243" i="1"/>
  <c r="M242" i="1"/>
  <c r="L242" i="1"/>
  <c r="K242" i="1"/>
  <c r="H242" i="1"/>
  <c r="M241" i="1"/>
  <c r="L241" i="1"/>
  <c r="K241" i="1"/>
  <c r="H241" i="1"/>
  <c r="M240" i="1"/>
  <c r="L240" i="1"/>
  <c r="K240" i="1"/>
  <c r="H240" i="1"/>
  <c r="M239" i="1"/>
  <c r="L239" i="1"/>
  <c r="K239" i="1"/>
  <c r="H239" i="1"/>
  <c r="M238" i="1"/>
  <c r="L238" i="1"/>
  <c r="K238" i="1"/>
  <c r="H238" i="1"/>
  <c r="M237" i="1"/>
  <c r="L237" i="1"/>
  <c r="K237" i="1"/>
  <c r="H237" i="1"/>
  <c r="M236" i="1"/>
  <c r="L236" i="1"/>
  <c r="K236" i="1"/>
  <c r="H236" i="1"/>
  <c r="M235" i="1"/>
  <c r="L235" i="1"/>
  <c r="K235" i="1"/>
  <c r="H235" i="1"/>
  <c r="M234" i="1"/>
  <c r="L234" i="1"/>
  <c r="K234" i="1"/>
  <c r="H234" i="1"/>
  <c r="M233" i="1"/>
  <c r="L233" i="1"/>
  <c r="K233" i="1"/>
  <c r="H233" i="1"/>
  <c r="M232" i="1"/>
  <c r="L232" i="1"/>
  <c r="K232" i="1"/>
  <c r="H232" i="1"/>
  <c r="M231" i="1"/>
  <c r="L231" i="1"/>
  <c r="K231" i="1"/>
  <c r="H231" i="1"/>
  <c r="M230" i="1"/>
  <c r="L230" i="1"/>
  <c r="K230" i="1"/>
  <c r="H230" i="1"/>
  <c r="M229" i="1"/>
  <c r="L229" i="1"/>
  <c r="K229" i="1"/>
  <c r="H229" i="1"/>
  <c r="M228" i="1"/>
  <c r="L228" i="1"/>
  <c r="K228" i="1"/>
  <c r="H228" i="1"/>
  <c r="M227" i="1"/>
  <c r="L227" i="1"/>
  <c r="K227" i="1"/>
  <c r="H227" i="1"/>
  <c r="M226" i="1"/>
  <c r="L226" i="1"/>
  <c r="K226" i="1"/>
  <c r="H226" i="1"/>
  <c r="M225" i="1"/>
  <c r="L225" i="1"/>
  <c r="K225" i="1"/>
  <c r="H225" i="1"/>
  <c r="M224" i="1"/>
  <c r="L224" i="1"/>
  <c r="K224" i="1"/>
  <c r="H224" i="1"/>
  <c r="M223" i="1"/>
  <c r="L223" i="1"/>
  <c r="K223" i="1"/>
  <c r="H223" i="1"/>
  <c r="M222" i="1"/>
  <c r="L222" i="1"/>
  <c r="K222" i="1"/>
  <c r="H222" i="1"/>
  <c r="M221" i="1"/>
  <c r="L221" i="1"/>
  <c r="K221" i="1"/>
  <c r="H221" i="1"/>
  <c r="M220" i="1"/>
  <c r="L220" i="1"/>
  <c r="K220" i="1"/>
  <c r="H220" i="1"/>
  <c r="M219" i="1"/>
  <c r="L219" i="1"/>
  <c r="K219" i="1"/>
  <c r="H219" i="1"/>
  <c r="M218" i="1"/>
  <c r="L218" i="1"/>
  <c r="K218" i="1"/>
  <c r="H218" i="1"/>
  <c r="M217" i="1"/>
  <c r="L217" i="1"/>
  <c r="K217" i="1"/>
  <c r="H217" i="1"/>
  <c r="M216" i="1"/>
  <c r="L216" i="1"/>
  <c r="K216" i="1"/>
  <c r="H216" i="1"/>
  <c r="M215" i="1"/>
  <c r="L215" i="1"/>
  <c r="K215" i="1"/>
  <c r="H215" i="1"/>
  <c r="M214" i="1"/>
  <c r="L214" i="1"/>
  <c r="K214" i="1"/>
  <c r="H214" i="1"/>
  <c r="M213" i="1"/>
  <c r="L213" i="1"/>
  <c r="K213" i="1"/>
  <c r="H213" i="1"/>
  <c r="M212" i="1"/>
  <c r="L212" i="1"/>
  <c r="K212" i="1"/>
  <c r="H212" i="1"/>
  <c r="M211" i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<sst xmlns="http://schemas.openxmlformats.org/spreadsheetml/2006/main" count="4654" uniqueCount="444">
  <si>
    <t>Dettaglio Domande Pagabili Decreto 373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</si>
  <si>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</si>
  <si>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</si>
  <si>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</si>
  <si>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</si>
  <si>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</si>
  <si>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</si>
  <si>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</si>
  <si>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</si>
  <si>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</si>
  <si>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</si>
  <si>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</si>
  <si>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</si>
  <si>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</si>
  <si>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</si>
  <si>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</si>
  <si>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</si>
  <si>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</si>
  <si>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</si>
  <si>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</si>
  <si>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</si>
  <si>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</si>
  <si>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</si>
  <si>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</si>
  <si>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</si>
  <si>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</si>
  <si>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</si>
  <si>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</si>
  <si>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CAA degli Agricoltori Srl</t>
  </si>
  <si>
    <t>NO</t>
  </si>
  <si>
    <t>Nuova Programmazione</t>
  </si>
  <si>
    <t>In Liquidazione</t>
  </si>
  <si>
    <t>Saldo</t>
  </si>
  <si>
    <t>Co-Finanziato</t>
  </si>
  <si>
    <t>CAA CIA srl</t>
  </si>
  <si>
    <t>CAA LiberiAgricoltori srl già CAA AGCI srl</t>
  </si>
  <si>
    <t>IN PROPRIO</t>
  </si>
  <si>
    <t>SAL</t>
  </si>
  <si>
    <t>Misure a Superficie</t>
  </si>
  <si>
    <t>CAA Coldiretti srl</t>
  </si>
  <si>
    <t>Anticipo</t>
  </si>
  <si>
    <t>SI</t>
  </si>
  <si>
    <t>CAA AGRISERVIZI s.r.l.</t>
  </si>
  <si>
    <t>CAA-CAF AGRI S.R.L.</t>
  </si>
  <si>
    <t>CAA UNICAA srl</t>
  </si>
  <si>
    <t>CAA Confagricoltura srl</t>
  </si>
  <si>
    <t>CAA UNSIC s.r.l.</t>
  </si>
  <si>
    <t>Trascinamenti</t>
  </si>
  <si>
    <t>CAA Coldiretti - VITERBO - 007</t>
  </si>
  <si>
    <t>MARCHE</t>
  </si>
  <si>
    <t>SERV. DEC. AGRICOLTURA E ALIM. -ASCOLI PICENO</t>
  </si>
  <si>
    <t>CAA Coldiretti - ASCOLI PICENO - 010</t>
  </si>
  <si>
    <t>MICHELI ROSELLA</t>
  </si>
  <si>
    <t>AGEA.ASR.2020.0499161</t>
  </si>
  <si>
    <t>SERV. DEC. AGRICOLTURA E ALIMENTAZIONE - ANCONA</t>
  </si>
  <si>
    <t>CAA CIA - ANCONA - 004</t>
  </si>
  <si>
    <t>CURSI OSCAR</t>
  </si>
  <si>
    <t>AGEA.ASR.2020.0468321</t>
  </si>
  <si>
    <t>SERV. DEC. AGRICOLTURA E ALIMENTAZIONE - PESARO</t>
  </si>
  <si>
    <t>CAA Coldiretti - PESARO E URBINO - 010</t>
  </si>
  <si>
    <t>FALLERI MARIA ANGELA</t>
  </si>
  <si>
    <t>BEDETTA ALESSANDRO</t>
  </si>
  <si>
    <t>CAA Confagricoltura - ASCOLI PICENO - 001</t>
  </si>
  <si>
    <t>SIMONELLI ROBERTA</t>
  </si>
  <si>
    <t>LARGHETTI ANTONIO</t>
  </si>
  <si>
    <t>OTTAVIANI GIUSEPPE</t>
  </si>
  <si>
    <t>CAA Coldiretti - FERMO - 001</t>
  </si>
  <si>
    <t>DEPLANU SALVATORE &amp; ALESSANDRO SOC.SEMPL.AGRICOLA</t>
  </si>
  <si>
    <t>SOCIETA' AGRICOLA IERVICELLA ALESSANDRO ED ELIO S.S.</t>
  </si>
  <si>
    <t>CAA Coldiretti - PESARO E URBINO - 013</t>
  </si>
  <si>
    <t>CARLONI CARLO</t>
  </si>
  <si>
    <t>AGEA.ASR.2020.0468391</t>
  </si>
  <si>
    <t>CAA Coldiretti - PESARO E URBINO - 006</t>
  </si>
  <si>
    <t>VENTURINI ANTONIO</t>
  </si>
  <si>
    <t>AGEA.ASR.2020.0468465</t>
  </si>
  <si>
    <t>CAA CIA - PESARO E URBINO - 006</t>
  </si>
  <si>
    <t>RENZI ELSO</t>
  </si>
  <si>
    <t>AGEA.ASR.2020.0469969</t>
  </si>
  <si>
    <t>SCARPONI LAURA</t>
  </si>
  <si>
    <t>AGEA.ASR.2020.0413633</t>
  </si>
  <si>
    <t>CAA Coldiretti - PESARO E URBINO - 007</t>
  </si>
  <si>
    <t>BARTOLINI FABIO</t>
  </si>
  <si>
    <t>AGEA.ASR.2020.0469846</t>
  </si>
  <si>
    <t>CAA CIA - PESARO E URBINO - 001</t>
  </si>
  <si>
    <t>GIAVOLI CLAUDIO</t>
  </si>
  <si>
    <t>GAMBINI PAOLO</t>
  </si>
  <si>
    <t>SOCIETA' AGRICOLA F.LLI PAOLINI S.S.</t>
  </si>
  <si>
    <t>SERV. DEC. AGRICOLTURA E ALIM. - MACERATA</t>
  </si>
  <si>
    <t>CAA Coldiretti - MACERATA - 017</t>
  </si>
  <si>
    <t>RICCI DAVID</t>
  </si>
  <si>
    <t>AGEA.ASR.2020.0501184</t>
  </si>
  <si>
    <t>CAA LiberiAgricoltori - MACERATA - 003</t>
  </si>
  <si>
    <t>RICCIONI STEFANO</t>
  </si>
  <si>
    <t>SOCIETA' AGRICOLA SEMPLICE SANT'ANNA</t>
  </si>
  <si>
    <t>CAA LiberiAgricoltori - MACERATA - 002</t>
  </si>
  <si>
    <t>SOCIETA AGRICOLA CONFORTI GIULIANO E GIORDANO S.S.</t>
  </si>
  <si>
    <t>SOCIETA' AGRICOLA FONDI GIUSEPPE E LAMBERTUCCI IDA S.S.</t>
  </si>
  <si>
    <t>CAA Coldiretti - PESARO E URBINO - 001</t>
  </si>
  <si>
    <t>DI DOMENICO NICOLETTA</t>
  </si>
  <si>
    <t>AGEA.ASR.2020.0468266</t>
  </si>
  <si>
    <t>SOCIETA' AGRICOLA MONSIGNORI S.S.</t>
  </si>
  <si>
    <t>SOCIETA' AGRICOLA PONTANI ROMOLO E EZIO S.S.</t>
  </si>
  <si>
    <t>CAA Coldiretti - MACERATA - 008</t>
  </si>
  <si>
    <t>TURCHI RENZO</t>
  </si>
  <si>
    <t>INFORMAZIONE SOCIETA' A RESPONSABILITA' LIMITATA</t>
  </si>
  <si>
    <t>AGEA.ASR.2020.0526756</t>
  </si>
  <si>
    <t>PANTALEONI RITA</t>
  </si>
  <si>
    <t>AGEA.ASR.2020.0468412</t>
  </si>
  <si>
    <t>MENCARINI DANIELE</t>
  </si>
  <si>
    <t>SOCIETA' AGRICOLA ANDREUCCIOLI S.S.</t>
  </si>
  <si>
    <t>BAILETTI EDI</t>
  </si>
  <si>
    <t>LIGI MARCO</t>
  </si>
  <si>
    <t>MARCHIONNI MATTEO</t>
  </si>
  <si>
    <t>CAA Confagricoltura - PESARO E URBINO - 001</t>
  </si>
  <si>
    <t>AZIENDA AGRARIA DELL'ISTITUTO TECNICO AGRARIO A.CECCHI</t>
  </si>
  <si>
    <t>LOBATO GLADYS</t>
  </si>
  <si>
    <t>FALCIONI FABRIZIO</t>
  </si>
  <si>
    <t>CAA CAF AGRI - FERMO - 222</t>
  </si>
  <si>
    <t>GEMINIANI PIO</t>
  </si>
  <si>
    <t>CERTELLI ANTONIO</t>
  </si>
  <si>
    <t>AZ. AGR. BASSI MARISA E CAROLINA</t>
  </si>
  <si>
    <t>CAA Confagricoltura - MACERATA - 001</t>
  </si>
  <si>
    <t>PALPACELLI ANNIBALE</t>
  </si>
  <si>
    <t>AGEA.ASR.2020.0468443</t>
  </si>
  <si>
    <t>GAGGIOTTINI EMILIO</t>
  </si>
  <si>
    <t>CAA Confagricoltura - ANCONA - 001</t>
  </si>
  <si>
    <t>SAVORETTI MASSIMILIANO</t>
  </si>
  <si>
    <t>AZ.AGRICOLA CONTI &amp; MONTESI S.S. SOCIETA' AGRICOLA</t>
  </si>
  <si>
    <t>CAA LiberiAgricoltori - MACERATA - 001</t>
  </si>
  <si>
    <t>GIULIANI ENRICO EREDI &amp; C. SOCIETA' AGRICOLA SEMPLICE</t>
  </si>
  <si>
    <t>CAA Coldiretti - MACERATA - 009</t>
  </si>
  <si>
    <t>RENZULLO MICHELE</t>
  </si>
  <si>
    <t>CAA Coldiretti - ANCONA - 003</t>
  </si>
  <si>
    <t>SOCIETA' SEMPLICE AGRICOLA "LA COLLINA" DI BRACACCINI E CURSI</t>
  </si>
  <si>
    <t>FRANCIONI CATERINA</t>
  </si>
  <si>
    <t>PEDINI ALBERTO</t>
  </si>
  <si>
    <t>LEVA DAVIDE</t>
  </si>
  <si>
    <t>PIRISI PEPPINO</t>
  </si>
  <si>
    <t>QUATTROCCHI CATIA</t>
  </si>
  <si>
    <t>CAA CIA - PESARO E URBINO - 005</t>
  </si>
  <si>
    <t>BIONDI ANNA</t>
  </si>
  <si>
    <t>TROIANI FABIO-MASSIMO</t>
  </si>
  <si>
    <t>SISINI GIUSEPPE</t>
  </si>
  <si>
    <t>CAA Coldiretti - MACERATA - 007</t>
  </si>
  <si>
    <t>SOCIETA' AGRICOLA MANCINI MICHELE E C. S.S</t>
  </si>
  <si>
    <t>SOCIETA' AGRICOLA OLIVIERI SANTERO E C. S.S.</t>
  </si>
  <si>
    <t>SOCIETA' AGRICOLA PISELLI PIETRO E C. SOC. SEMPLICE</t>
  </si>
  <si>
    <t>SOCIETA' AGRICOLA SEPI ANGELICA ECATERINA S.S.</t>
  </si>
  <si>
    <t>TRAVAGLIATI GIUSEPPE</t>
  </si>
  <si>
    <t>AGEA.ASR.2020.0475429</t>
  </si>
  <si>
    <t>CRISPICIANI SARA</t>
  </si>
  <si>
    <t>CAA CIA - ASCOLI PICENO - 001</t>
  </si>
  <si>
    <t>RANELLI MARCO</t>
  </si>
  <si>
    <t>TALAMONTI GIUSEPPINA</t>
  </si>
  <si>
    <t>CAA Coldiretti - MACERATA - 018</t>
  </si>
  <si>
    <t>ORAZI WALTER</t>
  </si>
  <si>
    <t>AGEA.ASR.2020.0464597</t>
  </si>
  <si>
    <t>AGEA.ASR.2020.0520980</t>
  </si>
  <si>
    <t>PAZZAGLINI PAOLO</t>
  </si>
  <si>
    <t>AGEA.ASR.2020.0501169</t>
  </si>
  <si>
    <t>MOSCETTI NULLI EMILIANO</t>
  </si>
  <si>
    <t>AZIENDA AGRICOLA MOCHI - S.S. SOCIETA' AGRICOLA</t>
  </si>
  <si>
    <t>BONOMI SILVIA</t>
  </si>
  <si>
    <t>FABRIZI FAUSTO</t>
  </si>
  <si>
    <t>LAURI MARIO</t>
  </si>
  <si>
    <t>MAGGI FEDERICA</t>
  </si>
  <si>
    <t>CAA CAF AGRI - ASCOLI PICENO - 222</t>
  </si>
  <si>
    <t>GIANNINI ALFREDO</t>
  </si>
  <si>
    <t>VITTORI PIETRO</t>
  </si>
  <si>
    <t>SOCIETA' AGRICOLA "BALENA" DI BALENA VALERIO E LAURA S.S.</t>
  </si>
  <si>
    <t>LA FATTORIA DI MIA SOCIETA' AGRICOLA SEMPLICE DI LEOPARDI FEDERICO E R</t>
  </si>
  <si>
    <t>BASOCU MARIO</t>
  </si>
  <si>
    <t>DOMINICI RITA</t>
  </si>
  <si>
    <t>ABBRUZZETTI ANTONIO</t>
  </si>
  <si>
    <t>IEZZI GIOVANNI</t>
  </si>
  <si>
    <t>SCARTOZZI FABRIZIO</t>
  </si>
  <si>
    <t>TRAVAGLINI ANTONIO</t>
  </si>
  <si>
    <t>SOCIETA' AGRICOLA PACIONI DI PACIONI MAURIZIO E WALTER S.S.</t>
  </si>
  <si>
    <t>AGEA.ASR.2020.0525255</t>
  </si>
  <si>
    <t>SOCIETA' AGRICOLA RICOTTA BENEDETTO E C. S.S.</t>
  </si>
  <si>
    <t>LAURI PAOLO</t>
  </si>
  <si>
    <t>VITACCHI GIOVANNA</t>
  </si>
  <si>
    <t>CAA Coldiretti - ASCOLI PICENO - 030</t>
  </si>
  <si>
    <t>SI BIO DI PREMICI SILVIA E ALEANDRI VINCENZO SOCIETA' SEMPLICE AGRICOL</t>
  </si>
  <si>
    <t>PALMUCCI GIORGIO</t>
  </si>
  <si>
    <t>ROSSI FRANCESCO</t>
  </si>
  <si>
    <t>LEONARDI GIAMPIERO</t>
  </si>
  <si>
    <t>LEONARDI VITO</t>
  </si>
  <si>
    <t>CANALI SILVIA</t>
  </si>
  <si>
    <t>CIPRIANI LUANA</t>
  </si>
  <si>
    <t>AURELI MACCARIO</t>
  </si>
  <si>
    <t>CAA AGRISERVIZI - LATINA - 001</t>
  </si>
  <si>
    <t>GALANTI EMIDIO</t>
  </si>
  <si>
    <t>AZ.AGR. ROSSI DI ROSSI PIETRO E C. S.S.</t>
  </si>
  <si>
    <t>NATALIZI ROBERTO</t>
  </si>
  <si>
    <t>SBARDELLATI LAMBERTO</t>
  </si>
  <si>
    <t>CAA CIA - ANCONA - 006</t>
  </si>
  <si>
    <t>CONSORZIO MARCHE VERDI SOC.COOP.AGRICOLA E FORESTALE</t>
  </si>
  <si>
    <t>AGEA.ASR.2020.0460393</t>
  </si>
  <si>
    <t>MASTROSANI CHIARA</t>
  </si>
  <si>
    <t>CAA Coldiretti - ANCONA - 006</t>
  </si>
  <si>
    <t>ROSSI FOSCO MARIA</t>
  </si>
  <si>
    <t>AGEA.ASR.2020.0501185</t>
  </si>
  <si>
    <t>CAA CIA - ANCONA - 002</t>
  </si>
  <si>
    <t>SOCIETA' AGRICOLA EREDI CESARONI SRL</t>
  </si>
  <si>
    <t>CAA UNICAA - ASCOLI PICENO - 004</t>
  </si>
  <si>
    <t>CORRADETTI CRISTIANO</t>
  </si>
  <si>
    <t>AGEA.ASR.2020.0501166</t>
  </si>
  <si>
    <t>COCCI PIERINO E COCCI ANGELO SOC. SEMPLICE</t>
  </si>
  <si>
    <t>CAA Coldiretti - PESARO E URBINO - 004</t>
  </si>
  <si>
    <t>AZIENDA AGRICOLA CA' PRIMO DI SPADA ANTONIO &amp; C SNC SOCIETA' AGRICOLA</t>
  </si>
  <si>
    <t>CAA CIA - PESARO E URBINO - 007</t>
  </si>
  <si>
    <t>BUSSAGLIA GIADA</t>
  </si>
  <si>
    <t>BECCERICA ANDREA</t>
  </si>
  <si>
    <t>CAA LiberiAgricoltori - MACERATA - 005</t>
  </si>
  <si>
    <t>AZIENDA AGRICOLA LA CISTERNA DI VISSANI ENRICO &amp; STEFANO SOCIETA' SEMP</t>
  </si>
  <si>
    <t>CAA CIA - PESARO E URBINO - 008</t>
  </si>
  <si>
    <t>BALDISSERRI ANDREA</t>
  </si>
  <si>
    <t>CAA CIA - ASCOLI PICENO - 005</t>
  </si>
  <si>
    <t>MORBIDELLI MARIELLA</t>
  </si>
  <si>
    <t>SOCIETA' AGRICOLA RIPOSATI GIANNINO E ALDER JANETTE ELISABETH SOCIETA'</t>
  </si>
  <si>
    <t>CAA Coldiretti - ANCONA - 008</t>
  </si>
  <si>
    <t>SOCIETA' AGRICOLA DEL BORANICO</t>
  </si>
  <si>
    <t>FAUR CRISTINA ANCUTA</t>
  </si>
  <si>
    <t>FELICI STEFANIA</t>
  </si>
  <si>
    <t>SALTARELLI ROBERTO</t>
  </si>
  <si>
    <t>ACCATTAPA' STEFANIA</t>
  </si>
  <si>
    <t>SANTARELLI ROBERTA</t>
  </si>
  <si>
    <t>VICARI SOCIETA' SEMPLICE AGRICOLA DI VICARI NAZZARENO, VICO E VALENTIN</t>
  </si>
  <si>
    <t>SOCIETA' SEMPLICE AGRICOLA CERESOLANA DI CATUCCI DANILO ANTONIO E CURA</t>
  </si>
  <si>
    <t>SOCCI ANDREA</t>
  </si>
  <si>
    <t>VIRGILI MARIANNA</t>
  </si>
  <si>
    <t>TRAINI GRAZIELLA</t>
  </si>
  <si>
    <t>SEPI FORTUNATO</t>
  </si>
  <si>
    <t>AGEA.ASR.2020.0520210</t>
  </si>
  <si>
    <t>DI LUCA ALESSANDRO</t>
  </si>
  <si>
    <t>DI DONATO CATIA</t>
  </si>
  <si>
    <t>CAA LiberiAgricoltori - PESARO E URBINO - 001</t>
  </si>
  <si>
    <t>GAMBINI GRETA</t>
  </si>
  <si>
    <t>CAA Coldiretti - MACERATA - 002</t>
  </si>
  <si>
    <t>PELAGALLI FRANCO</t>
  </si>
  <si>
    <t>BRANDI PIERDOMENICO</t>
  </si>
  <si>
    <t>VAN DER HEIJDEN PAUL ARJAN</t>
  </si>
  <si>
    <t>VERDICCHIO SIMONE</t>
  </si>
  <si>
    <t>SOCIETA' AGRICOLA RANCH LA ROTA S.S</t>
  </si>
  <si>
    <t>CAA CIA - ASCOLI PICENO - 004</t>
  </si>
  <si>
    <t>VALLORANI ROBERTO</t>
  </si>
  <si>
    <t>SOCIETA' AGRICOLA IL PODERE DELLA LUPA DI BARTOLINI PAOLA &amp; C. S.S.</t>
  </si>
  <si>
    <t>CARMINUCCI GIOVANNI</t>
  </si>
  <si>
    <t>PELAGALLI GIOVANNI</t>
  </si>
  <si>
    <t>SANTI LAURINI LAURA</t>
  </si>
  <si>
    <t>SOCIETA' AGRICOLA VAGNI ADOLFO E C. S.S.</t>
  </si>
  <si>
    <t>SOC.AGR.SARNANO BIO DI TAMANTI R. - TOSI G. - BECCERICA E. - BECCERICA</t>
  </si>
  <si>
    <t>OCCHIO DEMIAN</t>
  </si>
  <si>
    <t>CORRADETTI RENATO</t>
  </si>
  <si>
    <t>SANTOLINI GABRIELE</t>
  </si>
  <si>
    <t>ILLUMINATI DANIELA</t>
  </si>
  <si>
    <t>MANI MARCO</t>
  </si>
  <si>
    <t>DE ANGELIS SAMUELE</t>
  </si>
  <si>
    <t>CAA CAF AGRI - FERMO - 221</t>
  </si>
  <si>
    <t>SANTARELLI SABRINA</t>
  </si>
  <si>
    <t>LUCARELLI ROBERTO</t>
  </si>
  <si>
    <t>CAA UNICAA - PESARO E URBINO - 003</t>
  </si>
  <si>
    <t>PIERINI GIOVANNI</t>
  </si>
  <si>
    <t>PISTOLESI DOMENICO</t>
  </si>
  <si>
    <t>GRILLI GIULIA</t>
  </si>
  <si>
    <t>CAA Coldiretti - PESARO E URBINO - 008</t>
  </si>
  <si>
    <t>CAROBINI SOCIETA' AGRICOLA S.S.</t>
  </si>
  <si>
    <t>MICHELINI TOCCI ANTONIETTA</t>
  </si>
  <si>
    <t>SOCIETA' AGRICOLA D'EUGENIO ITALO E FIGLI SRL</t>
  </si>
  <si>
    <t>CAA LiberiAgricoltori - MACERATA - 004</t>
  </si>
  <si>
    <t>SOCIETA' AGRICOLA F.LLI PARIS S.S.</t>
  </si>
  <si>
    <t>SOCIETA' AGRICOLA FILENI SRL</t>
  </si>
  <si>
    <t>SOCIETA' AGRICOLA BIOLOGICA FILENI SRL</t>
  </si>
  <si>
    <t>COCCI PATRIZIO</t>
  </si>
  <si>
    <t>BRUTTI IGINO</t>
  </si>
  <si>
    <t>SOCIETA AGRICOLA PIERONI S.S</t>
  </si>
  <si>
    <t>ALEANDRI TIZIANO</t>
  </si>
  <si>
    <t>3 A AZIENDE AGRICOLE ASSOCIATE SCARL</t>
  </si>
  <si>
    <t>BRANDONI ALESSIO</t>
  </si>
  <si>
    <t>SOCIETA' AGRICOLA "TENUTA SILIQUINI" DI ACCORSI SIMONA E LOMUSIO GRAZI</t>
  </si>
  <si>
    <t>DI PASQUALE FILIPPO</t>
  </si>
  <si>
    <t>MORI DILETTA</t>
  </si>
  <si>
    <t>CAA Coldiretti - ASCOLI PICENO - 015</t>
  </si>
  <si>
    <t>CICCHESE PAOLA</t>
  </si>
  <si>
    <t>SCOLASTICI RAIMONDO</t>
  </si>
  <si>
    <t>SEBASTIANI JOHNNY</t>
  </si>
  <si>
    <t>RECCHI MONIA</t>
  </si>
  <si>
    <t>TANZI ODILIA E ANGELICI ANTONIO SOC. SEMPLICE</t>
  </si>
  <si>
    <t>VALENTINI LUCIANO</t>
  </si>
  <si>
    <t>DI SILVESTRO ANTONIO</t>
  </si>
  <si>
    <t>MUSCINELLI PASQUALE</t>
  </si>
  <si>
    <t>SCHITO SOCIETA' AGRICOLA SEMPLICE</t>
  </si>
  <si>
    <t>GAGLIARDI GIOVANNI</t>
  </si>
  <si>
    <t>IACCHINI STEFANO</t>
  </si>
  <si>
    <t>SOCIETA' AGRICOLA CASTELLO DI CORNACUNA DI PAOLETTI LUCIA E C. S.S.</t>
  </si>
  <si>
    <t>FANESI ISIDORO</t>
  </si>
  <si>
    <t>D'ANGELO LIANA</t>
  </si>
  <si>
    <t>SPINELLI ROSALBA</t>
  </si>
  <si>
    <t>VITTORI GIANCARLO</t>
  </si>
  <si>
    <t>BIANCHI MARCO</t>
  </si>
  <si>
    <t>CAA CIA - ASCOLI PICENO - 002</t>
  </si>
  <si>
    <t>POLETTI PAULE</t>
  </si>
  <si>
    <t>AZIENDA AGRICOLA DI CINTIO GIROLAMO E MARIA S.S.</t>
  </si>
  <si>
    <t>MARIANI FRANCESCO</t>
  </si>
  <si>
    <t>MALGRANDE MARCO</t>
  </si>
  <si>
    <t>AVALTRONI MARCO E CLAUDIO SOC. SEMPLICE</t>
  </si>
  <si>
    <t>MENTUCCI MARCO</t>
  </si>
  <si>
    <t>AZ.AGR.MANOCCHI MARCELLO E MARCO</t>
  </si>
  <si>
    <t>FERRI MAURO</t>
  </si>
  <si>
    <t>LANCIANI OSCAR MARIA</t>
  </si>
  <si>
    <t>ALEANDRI VALENTINO</t>
  </si>
  <si>
    <t>DI SABATINO EMANUELA</t>
  </si>
  <si>
    <t>CAA CIA - PERUGIA - 001</t>
  </si>
  <si>
    <t>AZIENDA AGRICOLA DELLE MONACHE SOCIETA' SEMPLICE AGRICOLA</t>
  </si>
  <si>
    <t>MADONINI VALERIA MARIA ALESSANDRA</t>
  </si>
  <si>
    <t>STAFFOLANI ENRICO</t>
  </si>
  <si>
    <t>CARAFFA POMPONIO</t>
  </si>
  <si>
    <t>LA MARCA NELLE MARCHE SOCIETA' SEMPLICE AGRICOLA</t>
  </si>
  <si>
    <t>CAA CAF AGRI - PESARO E URBINO - 221</t>
  </si>
  <si>
    <t>IL GIARDINO S.S. - SOCIETA' AGRICOLA</t>
  </si>
  <si>
    <t>CAA Coldiretti - MACERATA - 010</t>
  </si>
  <si>
    <t>FUSELLI LUCIANO</t>
  </si>
  <si>
    <t>CARBONI SANTINA</t>
  </si>
  <si>
    <t>PORFIRI RENATO</t>
  </si>
  <si>
    <t>VALLORANI GIULIANA</t>
  </si>
  <si>
    <t>BERARDI GIANCARLO</t>
  </si>
  <si>
    <t>VALLORANI MARIA LUIGINA</t>
  </si>
  <si>
    <t>CAA CIA - ANCONA - 005</t>
  </si>
  <si>
    <t>AZIENDA AGRICOLA FRATELLI POLITI SOCIETA' SEMPLICE</t>
  </si>
  <si>
    <t>AGEA.ASR.2020.0501178</t>
  </si>
  <si>
    <t>CADABO' SOCIETA' SEMPLICE AGRICOLA DI BUSCHI MATTEO E LANDI ROSSANO</t>
  </si>
  <si>
    <t>BATTAGLIA GIOVANNI</t>
  </si>
  <si>
    <t>BIANCHELLA MARCELLO</t>
  </si>
  <si>
    <t>CALDARIGI NICOLAS</t>
  </si>
  <si>
    <t>CANDELARESI CARLO</t>
  </si>
  <si>
    <t>CANESTRARI LUCIO</t>
  </si>
  <si>
    <t>CARBINI PATRIZIA</t>
  </si>
  <si>
    <t>CIRIACHI ALESSANDRA</t>
  </si>
  <si>
    <t>FOCANTI DINO</t>
  </si>
  <si>
    <t>GALLI STEFANO</t>
  </si>
  <si>
    <t>MANIERI DAVIDE</t>
  </si>
  <si>
    <t>CAA Coldiretti - ANCONA - 001</t>
  </si>
  <si>
    <t>PIRANI ELISABETTA</t>
  </si>
  <si>
    <t>FIORETTI ALBERTO</t>
  </si>
  <si>
    <t>ROSATELLI NICOLA</t>
  </si>
  <si>
    <t>AGEA.ASR.2020.0524694</t>
  </si>
  <si>
    <t>FELICI PIETRO</t>
  </si>
  <si>
    <t>GUATIERI CHRISTIAN</t>
  </si>
  <si>
    <t>SANTONI NICOLINO</t>
  </si>
  <si>
    <t>CAA LiberiAgricoltori - PESARO E URBINO - 002</t>
  </si>
  <si>
    <t>BICCHIARELLI GABRIELE</t>
  </si>
  <si>
    <t>MASILI FRANCESCO</t>
  </si>
  <si>
    <t>CAA Coldiretti - ASCOLI PICENO - 040</t>
  </si>
  <si>
    <t>CENTANNI GIACOMO</t>
  </si>
  <si>
    <t>NICCOLINI SOCIETA' AGRICOLA S.S.</t>
  </si>
  <si>
    <t>DI COSMO CLAUDIA</t>
  </si>
  <si>
    <t>DESANTIS SILVANA</t>
  </si>
  <si>
    <t>VOLUNNI LUCIANO</t>
  </si>
  <si>
    <t>LANCIOTTI AGOSTINO</t>
  </si>
  <si>
    <t>BARILOTTI PIETRO</t>
  </si>
  <si>
    <t>CECI ANDREA</t>
  </si>
  <si>
    <t>LE BONTA' DI ACCIARRI SOCIETA' AGRICOLA A RESPONSABILITA' LIMITATA SEM</t>
  </si>
  <si>
    <t>LIBERI PIER FRANCESCO</t>
  </si>
  <si>
    <t>SOCIETA' AGRICOLA CIU' CIU' DI BARTOLOMEI MASSIMILIANO E BARTOLOMEI WA</t>
  </si>
  <si>
    <t>SCOTTI MADDALENA</t>
  </si>
  <si>
    <t>SOCIETA' BIO AGRICOLA MIA S.R.L.C.R.</t>
  </si>
  <si>
    <t>RINOZZI AURELIO</t>
  </si>
  <si>
    <t>D'ANGELO MARIELLA</t>
  </si>
  <si>
    <t>LE CORTI DEI FARFENSI SOCIETA' AGRICOLA COOPERATIVA</t>
  </si>
  <si>
    <t>AGROBIOLOGICA FOGLINI LIVIA E AMURRI PIERINO BRUNO SOCIETA' AGRICOLA S</t>
  </si>
  <si>
    <t>BRAVI PAOLA</t>
  </si>
  <si>
    <t>PALANCA ANGELO</t>
  </si>
  <si>
    <t>AZIENDA AGRICOLA FRATELLI BUCCI S.S. SOCIETA' AGRICOLA</t>
  </si>
  <si>
    <t>SOCIETA' AGRICOLA COLLI DEI VASI SOCIETA' SEMPLICE</t>
  </si>
  <si>
    <t>SANTOLINI SANTA</t>
  </si>
  <si>
    <t>CAA UNSIC - ASCOLI PICENO - 001</t>
  </si>
  <si>
    <t>SERI GRAZIELLA</t>
  </si>
  <si>
    <t>CHERCHI PIERO FRANCO</t>
  </si>
  <si>
    <t>PIETRINI GRAZIANO</t>
  </si>
  <si>
    <t>BOTTICELLI DOMENICO</t>
  </si>
  <si>
    <t>CATALDI ERSILIA</t>
  </si>
  <si>
    <t>CAA Coldiretti - ASCOLI PICENO - 025</t>
  </si>
  <si>
    <t>PELLICCIA GIUSEPPE</t>
  </si>
  <si>
    <t>FATTORI LUCIA</t>
  </si>
  <si>
    <t>DILETTI ROBERTO</t>
  </si>
  <si>
    <t>PENNESI GIUSEPPE</t>
  </si>
  <si>
    <t>MONTEBELLO COOPERATIVA AGROBIOLOGICA</t>
  </si>
  <si>
    <t>BUSETTO LUISA</t>
  </si>
  <si>
    <t>CAA CIA - ANCONA - 001</t>
  </si>
  <si>
    <t>NUMIDI LUCIA</t>
  </si>
  <si>
    <t>AGEA.ASR.2020.0468277</t>
  </si>
  <si>
    <t>FERRANTI FRANCO</t>
  </si>
  <si>
    <t>CAA Confagricoltura - FORLI' - CESENA - 001</t>
  </si>
  <si>
    <t>SOCIETA' AGRICOLA LA CELLA DI MANZAROLI DARIO S.S.</t>
  </si>
  <si>
    <t>ANIBALDI CINZIA</t>
  </si>
  <si>
    <t>AUSTRALI SOCIETA' SEMPLICE AGRICOLA DI GAGLIARDINI STEFANO E BINI MARC</t>
  </si>
  <si>
    <t>CAA CAF AGRI - ANCONA - 224</t>
  </si>
  <si>
    <t>BORA FRANCESCO</t>
  </si>
  <si>
    <t>FEDERICI BERNARDO</t>
  </si>
  <si>
    <t>AZIENDA AGRICOLA AGOSTINI DI AGOSTINI MATTEO &amp; C. S.N.C.</t>
  </si>
  <si>
    <t>BETTARELLI ANNA</t>
  </si>
  <si>
    <t>DOPPIERI CRISTIANA</t>
  </si>
  <si>
    <t>FATTORIA LUCESOLE S.N.C. DI MANINI MASSIMILIANO E MAURO SOCIETA' AGRIC</t>
  </si>
  <si>
    <t>FATTORINI PAOLA</t>
  </si>
  <si>
    <t>GEMINIANI LETIZIA</t>
  </si>
  <si>
    <t>GOBBI SOCIETA' SEMPLICE AGRICOLA DI GOBBI LORENZO</t>
  </si>
  <si>
    <t>LOCCIONI RENATO</t>
  </si>
  <si>
    <t>MANSOUR NURI MARIANO</t>
  </si>
  <si>
    <t>MARCHESINI MONIA</t>
  </si>
  <si>
    <t>PIERINI ALDO</t>
  </si>
  <si>
    <t>CAA CIA - ASCOLI PICENO - 006</t>
  </si>
  <si>
    <t>MORLACCA ERRI</t>
  </si>
  <si>
    <t>PETROLATI SANTE</t>
  </si>
  <si>
    <t>PIERANTONELLI OTTORINA</t>
  </si>
  <si>
    <t>ORLANDI SILVIA</t>
  </si>
  <si>
    <t>LAURENZI MAURIZIO</t>
  </si>
  <si>
    <t>FALCIONI ALDO</t>
  </si>
  <si>
    <t>AGEA.ASR.2020.0414914</t>
  </si>
  <si>
    <t>CONSORZIO FORMACOOP MARCHE - SOCIETA' COOPERATIVA</t>
  </si>
  <si>
    <t>AGEA.ASR.2020.0526745</t>
  </si>
  <si>
    <t>CIACCI ANGELO</t>
  </si>
  <si>
    <t>AGEA.ASR.2020.0524698</t>
  </si>
  <si>
    <t>CAA CAF AGRI - MACERATA - 224</t>
  </si>
  <si>
    <t>MARINUCCI EURO</t>
  </si>
  <si>
    <t>AGEA.ASR.2020.0468200</t>
  </si>
  <si>
    <t>PULITA FAUSTO</t>
  </si>
  <si>
    <t>SOC. AGR. BUROTTA DI LAINO DALL'ACQUA FRANCESCO &amp; C. S.S.</t>
  </si>
  <si>
    <t>MONTALBINI MARINO</t>
  </si>
  <si>
    <t>NUCCI LUCIANO</t>
  </si>
  <si>
    <t>AGEA.ASR.2020.0520920</t>
  </si>
  <si>
    <t>SCARAMUCCI OTTAVIO</t>
  </si>
  <si>
    <t>AMBROSIO ARCANGELO</t>
  </si>
  <si>
    <t>AGEA.ASR.2020.0478298</t>
  </si>
  <si>
    <t>TERRA SOCIETA' COOPERATIVA AGRICOLA SOCIALE ONLUS</t>
  </si>
  <si>
    <t>TONUCCI ANTONIO</t>
  </si>
  <si>
    <t>SOCIETA' AGRICOLA PONTE VALLE S.S.</t>
  </si>
  <si>
    <t>CAA CIA - PESARO E URBINO - 003</t>
  </si>
  <si>
    <t>FULVI CARLO FELICE</t>
  </si>
  <si>
    <t>CAA CAF AGRI - ANCONA - 225</t>
  </si>
  <si>
    <t>PERTICAROLI GIUSEPPA</t>
  </si>
  <si>
    <t>CAA Degli Agricoltori - ANCONA - 102</t>
  </si>
  <si>
    <t>BORRONI LUIGI</t>
  </si>
  <si>
    <t>FRANCIA STEFANO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</si>
</sst>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7D84B-B753-4FB4-A8E6-FF5A08F7AD23}">
  <dimension ref="A1:Y359"/>
  <sheetViews>
    <sheetView showGridLines="0" tabSelected="1" workbookViewId="0">
      <selection activeCell="F365" sqref="F365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42578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3" width="17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38</v>
      </c>
      <c r="C4" s="5" t="s">
        <v>49</v>
      </c>
      <c r="D4" s="5" t="s">
        <v>50</v>
      </c>
      <c r="E4" s="5" t="s">
        <v>39</v>
      </c>
      <c r="F4" s="5" t="s">
        <v>51</v>
      </c>
      <c r="G4" s="5">
        <v>2019</v>
      </c>
      <c r="H4" s="5" t="str">
        <f>CONCATENATE("94241065369")</f>
        <v>94241065369</v>
      </c>
      <c r="I4" s="5" t="s">
        <v>29</v>
      </c>
      <c r="J4" s="5" t="s">
        <v>30</v>
      </c>
      <c r="K4" s="5" t="str">
        <f>CONCATENATE("")</f>
        <v/>
      </c>
      <c r="L4" s="5" t="str">
        <f>CONCATENATE("14 14.1 3a")</f>
        <v>14 14.1 3a</v>
      </c>
      <c r="M4" s="5" t="str">
        <f>CONCATENATE("MCHRLL62A43C877N")</f>
        <v>MCHRLL62A43C877N</v>
      </c>
      <c r="N4" s="5" t="s">
        <v>52</v>
      </c>
      <c r="O4" s="5" t="s">
        <v>53</v>
      </c>
      <c r="P4" s="6">
        <v>43987</v>
      </c>
      <c r="Q4" s="5" t="s">
        <v>31</v>
      </c>
      <c r="R4" s="5" t="s">
        <v>32</v>
      </c>
      <c r="S4" s="5" t="s">
        <v>33</v>
      </c>
      <c r="T4" s="5"/>
      <c r="U4" s="7">
        <v>4142</v>
      </c>
      <c r="V4" s="7">
        <v>1786.03</v>
      </c>
      <c r="W4" s="7">
        <v>1649.34</v>
      </c>
      <c r="X4" s="5">
        <v>0</v>
      </c>
      <c r="Y4" s="5">
        <v>706.63</v>
      </c>
    </row>
    <row r="5" spans="1:25" ht="24.75" x14ac:dyDescent="0.25">
      <c r="A5" s="5" t="s">
        <v>26</v>
      </c>
      <c r="B5" s="5" t="s">
        <v>38</v>
      </c>
      <c r="C5" s="5" t="s">
        <v>49</v>
      </c>
      <c r="D5" s="5" t="s">
        <v>54</v>
      </c>
      <c r="E5" s="5" t="s">
        <v>34</v>
      </c>
      <c r="F5" s="5" t="s">
        <v>55</v>
      </c>
      <c r="G5" s="5">
        <v>2018</v>
      </c>
      <c r="H5" s="5" t="str">
        <f>CONCATENATE("84780033696")</f>
        <v>84780033696</v>
      </c>
      <c r="I5" s="5" t="s">
        <v>29</v>
      </c>
      <c r="J5" s="5" t="s">
        <v>47</v>
      </c>
      <c r="K5" s="5" t="str">
        <f>CONCATENATE("221")</f>
        <v>221</v>
      </c>
      <c r="L5" s="5" t="str">
        <f>CONCATENATE("8 8.1 5e")</f>
        <v>8 8.1 5e</v>
      </c>
      <c r="M5" s="5" t="str">
        <f>CONCATENATE("CRSSCR61R29I608H")</f>
        <v>CRSSCR61R29I608H</v>
      </c>
      <c r="N5" s="5" t="s">
        <v>56</v>
      </c>
      <c r="O5" s="5" t="s">
        <v>57</v>
      </c>
      <c r="P5" s="6">
        <v>43987</v>
      </c>
      <c r="Q5" s="5" t="s">
        <v>31</v>
      </c>
      <c r="R5" s="5" t="s">
        <v>32</v>
      </c>
      <c r="S5" s="5" t="s">
        <v>33</v>
      </c>
      <c r="T5" s="5"/>
      <c r="U5" s="7">
        <v>2492.5</v>
      </c>
      <c r="V5" s="7">
        <v>1074.77</v>
      </c>
      <c r="W5" s="5">
        <v>992.51</v>
      </c>
      <c r="X5" s="5">
        <v>0</v>
      </c>
      <c r="Y5" s="5">
        <v>425.22</v>
      </c>
    </row>
    <row r="6" spans="1:25" ht="24.75" x14ac:dyDescent="0.25">
      <c r="A6" s="5" t="s">
        <v>26</v>
      </c>
      <c r="B6" s="5" t="s">
        <v>38</v>
      </c>
      <c r="C6" s="5" t="s">
        <v>49</v>
      </c>
      <c r="D6" s="5" t="s">
        <v>58</v>
      </c>
      <c r="E6" s="5" t="s">
        <v>39</v>
      </c>
      <c r="F6" s="5" t="s">
        <v>59</v>
      </c>
      <c r="G6" s="5">
        <v>2018</v>
      </c>
      <c r="H6" s="5" t="str">
        <f>CONCATENATE("84780109801")</f>
        <v>84780109801</v>
      </c>
      <c r="I6" s="5" t="s">
        <v>29</v>
      </c>
      <c r="J6" s="5" t="s">
        <v>47</v>
      </c>
      <c r="K6" s="5" t="str">
        <f>CONCATENATE("221")</f>
        <v>221</v>
      </c>
      <c r="L6" s="5" t="str">
        <f>CONCATENATE("8 8.1 5e")</f>
        <v>8 8.1 5e</v>
      </c>
      <c r="M6" s="5" t="str">
        <f>CONCATENATE("FLLMNG55H60A327E")</f>
        <v>FLLMNG55H60A327E</v>
      </c>
      <c r="N6" s="5" t="s">
        <v>60</v>
      </c>
      <c r="O6" s="5" t="s">
        <v>57</v>
      </c>
      <c r="P6" s="6">
        <v>43987</v>
      </c>
      <c r="Q6" s="5" t="s">
        <v>31</v>
      </c>
      <c r="R6" s="5" t="s">
        <v>32</v>
      </c>
      <c r="S6" s="5" t="s">
        <v>33</v>
      </c>
      <c r="T6" s="5"/>
      <c r="U6" s="5">
        <v>477</v>
      </c>
      <c r="V6" s="5">
        <v>205.68</v>
      </c>
      <c r="W6" s="5">
        <v>189.94</v>
      </c>
      <c r="X6" s="5">
        <v>0</v>
      </c>
      <c r="Y6" s="5">
        <v>81.38</v>
      </c>
    </row>
    <row r="7" spans="1:25" ht="24.75" x14ac:dyDescent="0.25">
      <c r="A7" s="5" t="s">
        <v>26</v>
      </c>
      <c r="B7" s="5" t="s">
        <v>38</v>
      </c>
      <c r="C7" s="5" t="s">
        <v>49</v>
      </c>
      <c r="D7" s="5" t="s">
        <v>54</v>
      </c>
      <c r="E7" s="5" t="s">
        <v>34</v>
      </c>
      <c r="F7" s="5" t="s">
        <v>55</v>
      </c>
      <c r="G7" s="5">
        <v>2018</v>
      </c>
      <c r="H7" s="5" t="str">
        <f>CONCATENATE("84780032797")</f>
        <v>84780032797</v>
      </c>
      <c r="I7" s="5" t="s">
        <v>29</v>
      </c>
      <c r="J7" s="5" t="s">
        <v>47</v>
      </c>
      <c r="K7" s="5" t="str">
        <f>CONCATENATE("221")</f>
        <v>221</v>
      </c>
      <c r="L7" s="5" t="str">
        <f>CONCATENATE("8 8.1 5e")</f>
        <v>8 8.1 5e</v>
      </c>
      <c r="M7" s="5" t="str">
        <f>CONCATENATE("BDTLSN70M28I608V")</f>
        <v>BDTLSN70M28I608V</v>
      </c>
      <c r="N7" s="5" t="s">
        <v>61</v>
      </c>
      <c r="O7" s="5" t="s">
        <v>57</v>
      </c>
      <c r="P7" s="6">
        <v>43987</v>
      </c>
      <c r="Q7" s="5" t="s">
        <v>31</v>
      </c>
      <c r="R7" s="5" t="s">
        <v>32</v>
      </c>
      <c r="S7" s="5" t="s">
        <v>33</v>
      </c>
      <c r="T7" s="5"/>
      <c r="U7" s="7">
        <v>2871</v>
      </c>
      <c r="V7" s="7">
        <v>1237.98</v>
      </c>
      <c r="W7" s="7">
        <v>1143.23</v>
      </c>
      <c r="X7" s="5">
        <v>0</v>
      </c>
      <c r="Y7" s="5">
        <v>489.79</v>
      </c>
    </row>
    <row r="8" spans="1:25" ht="24.75" x14ac:dyDescent="0.25">
      <c r="A8" s="5" t="s">
        <v>26</v>
      </c>
      <c r="B8" s="5" t="s">
        <v>38</v>
      </c>
      <c r="C8" s="5" t="s">
        <v>49</v>
      </c>
      <c r="D8" s="5" t="s">
        <v>50</v>
      </c>
      <c r="E8" s="5" t="s">
        <v>45</v>
      </c>
      <c r="F8" s="5" t="s">
        <v>62</v>
      </c>
      <c r="G8" s="5">
        <v>2019</v>
      </c>
      <c r="H8" s="5" t="str">
        <f>CONCATENATE("94240785074")</f>
        <v>94240785074</v>
      </c>
      <c r="I8" s="5" t="s">
        <v>29</v>
      </c>
      <c r="J8" s="5" t="s">
        <v>30</v>
      </c>
      <c r="K8" s="5" t="str">
        <f>CONCATENATE("")</f>
        <v/>
      </c>
      <c r="L8" s="5" t="str">
        <f>CONCATENATE("14 14.1 3a")</f>
        <v>14 14.1 3a</v>
      </c>
      <c r="M8" s="5" t="str">
        <f>CONCATENATE("SMNRRT81E41F520M")</f>
        <v>SMNRRT81E41F520M</v>
      </c>
      <c r="N8" s="5" t="s">
        <v>63</v>
      </c>
      <c r="O8" s="5" t="s">
        <v>53</v>
      </c>
      <c r="P8" s="6">
        <v>43987</v>
      </c>
      <c r="Q8" s="5" t="s">
        <v>31</v>
      </c>
      <c r="R8" s="5" t="s">
        <v>32</v>
      </c>
      <c r="S8" s="5" t="s">
        <v>33</v>
      </c>
      <c r="T8" s="5"/>
      <c r="U8" s="7">
        <v>2793.6</v>
      </c>
      <c r="V8" s="7">
        <v>1204.5999999999999</v>
      </c>
      <c r="W8" s="7">
        <v>1112.4100000000001</v>
      </c>
      <c r="X8" s="5">
        <v>0</v>
      </c>
      <c r="Y8" s="5">
        <v>476.59</v>
      </c>
    </row>
    <row r="9" spans="1:25" ht="24.75" x14ac:dyDescent="0.25">
      <c r="A9" s="5" t="s">
        <v>26</v>
      </c>
      <c r="B9" s="5" t="s">
        <v>38</v>
      </c>
      <c r="C9" s="5" t="s">
        <v>49</v>
      </c>
      <c r="D9" s="5" t="s">
        <v>58</v>
      </c>
      <c r="E9" s="5" t="s">
        <v>36</v>
      </c>
      <c r="F9" s="5" t="s">
        <v>36</v>
      </c>
      <c r="G9" s="5">
        <v>2019</v>
      </c>
      <c r="H9" s="5" t="str">
        <f>CONCATENATE("94240719552")</f>
        <v>94240719552</v>
      </c>
      <c r="I9" s="5" t="s">
        <v>29</v>
      </c>
      <c r="J9" s="5" t="s">
        <v>30</v>
      </c>
      <c r="K9" s="5" t="str">
        <f>CONCATENATE("")</f>
        <v/>
      </c>
      <c r="L9" s="5" t="str">
        <f>CONCATENATE("14 14.1 3a")</f>
        <v>14 14.1 3a</v>
      </c>
      <c r="M9" s="5" t="str">
        <f>CONCATENATE("LRGNTN59B23E785T")</f>
        <v>LRGNTN59B23E785T</v>
      </c>
      <c r="N9" s="5" t="s">
        <v>64</v>
      </c>
      <c r="O9" s="5" t="s">
        <v>53</v>
      </c>
      <c r="P9" s="6">
        <v>43987</v>
      </c>
      <c r="Q9" s="5" t="s">
        <v>31</v>
      </c>
      <c r="R9" s="5" t="s">
        <v>32</v>
      </c>
      <c r="S9" s="5" t="s">
        <v>33</v>
      </c>
      <c r="T9" s="5"/>
      <c r="U9" s="7">
        <v>3435</v>
      </c>
      <c r="V9" s="7">
        <v>1481.17</v>
      </c>
      <c r="W9" s="7">
        <v>1367.82</v>
      </c>
      <c r="X9" s="5">
        <v>0</v>
      </c>
      <c r="Y9" s="5">
        <v>586.01</v>
      </c>
    </row>
    <row r="10" spans="1:25" ht="24.75" x14ac:dyDescent="0.25">
      <c r="A10" s="5" t="s">
        <v>26</v>
      </c>
      <c r="B10" s="5" t="s">
        <v>38</v>
      </c>
      <c r="C10" s="5" t="s">
        <v>49</v>
      </c>
      <c r="D10" s="5" t="s">
        <v>50</v>
      </c>
      <c r="E10" s="5" t="s">
        <v>36</v>
      </c>
      <c r="F10" s="5" t="s">
        <v>36</v>
      </c>
      <c r="G10" s="5">
        <v>2019</v>
      </c>
      <c r="H10" s="5" t="str">
        <f>CONCATENATE("94241090334")</f>
        <v>94241090334</v>
      </c>
      <c r="I10" s="5" t="s">
        <v>29</v>
      </c>
      <c r="J10" s="5" t="s">
        <v>30</v>
      </c>
      <c r="K10" s="5" t="str">
        <f>CONCATENATE("")</f>
        <v/>
      </c>
      <c r="L10" s="5" t="str">
        <f>CONCATENATE("14 14.1 3a")</f>
        <v>14 14.1 3a</v>
      </c>
      <c r="M10" s="5" t="str">
        <f>CONCATENATE("TTVGPP57D14F509N")</f>
        <v>TTVGPP57D14F509N</v>
      </c>
      <c r="N10" s="5" t="s">
        <v>65</v>
      </c>
      <c r="O10" s="5" t="s">
        <v>53</v>
      </c>
      <c r="P10" s="6">
        <v>43987</v>
      </c>
      <c r="Q10" s="5" t="s">
        <v>31</v>
      </c>
      <c r="R10" s="5" t="s">
        <v>32</v>
      </c>
      <c r="S10" s="5" t="s">
        <v>33</v>
      </c>
      <c r="T10" s="5"/>
      <c r="U10" s="7">
        <v>11585</v>
      </c>
      <c r="V10" s="7">
        <v>4995.45</v>
      </c>
      <c r="W10" s="7">
        <v>4613.1499999999996</v>
      </c>
      <c r="X10" s="5">
        <v>0</v>
      </c>
      <c r="Y10" s="7">
        <v>1976.4</v>
      </c>
    </row>
    <row r="11" spans="1:25" ht="24.75" x14ac:dyDescent="0.25">
      <c r="A11" s="5" t="s">
        <v>26</v>
      </c>
      <c r="B11" s="5" t="s">
        <v>38</v>
      </c>
      <c r="C11" s="5" t="s">
        <v>49</v>
      </c>
      <c r="D11" s="5" t="s">
        <v>50</v>
      </c>
      <c r="E11" s="5" t="s">
        <v>39</v>
      </c>
      <c r="F11" s="5" t="s">
        <v>66</v>
      </c>
      <c r="G11" s="5">
        <v>2019</v>
      </c>
      <c r="H11" s="5" t="str">
        <f>CONCATENATE("94240893969")</f>
        <v>94240893969</v>
      </c>
      <c r="I11" s="5" t="s">
        <v>29</v>
      </c>
      <c r="J11" s="5" t="s">
        <v>30</v>
      </c>
      <c r="K11" s="5" t="str">
        <f>CONCATENATE("")</f>
        <v/>
      </c>
      <c r="L11" s="5" t="str">
        <f>CONCATENATE("14 14.1 3a")</f>
        <v>14 14.1 3a</v>
      </c>
      <c r="M11" s="5" t="str">
        <f>CONCATENATE("01146920440")</f>
        <v>01146920440</v>
      </c>
      <c r="N11" s="5" t="s">
        <v>67</v>
      </c>
      <c r="O11" s="5" t="s">
        <v>53</v>
      </c>
      <c r="P11" s="6">
        <v>43987</v>
      </c>
      <c r="Q11" s="5" t="s">
        <v>31</v>
      </c>
      <c r="R11" s="5" t="s">
        <v>32</v>
      </c>
      <c r="S11" s="5" t="s">
        <v>33</v>
      </c>
      <c r="T11" s="5"/>
      <c r="U11" s="7">
        <v>15243.23</v>
      </c>
      <c r="V11" s="7">
        <v>6572.88</v>
      </c>
      <c r="W11" s="7">
        <v>6069.85</v>
      </c>
      <c r="X11" s="5">
        <v>0</v>
      </c>
      <c r="Y11" s="7">
        <v>2600.5</v>
      </c>
    </row>
    <row r="12" spans="1:25" ht="24.75" x14ac:dyDescent="0.25">
      <c r="A12" s="5" t="s">
        <v>26</v>
      </c>
      <c r="B12" s="5" t="s">
        <v>38</v>
      </c>
      <c r="C12" s="5" t="s">
        <v>49</v>
      </c>
      <c r="D12" s="5" t="s">
        <v>50</v>
      </c>
      <c r="E12" s="5" t="s">
        <v>39</v>
      </c>
      <c r="F12" s="5" t="s">
        <v>66</v>
      </c>
      <c r="G12" s="5">
        <v>2019</v>
      </c>
      <c r="H12" s="5" t="str">
        <f>CONCATENATE("94241091290")</f>
        <v>94241091290</v>
      </c>
      <c r="I12" s="5" t="s">
        <v>29</v>
      </c>
      <c r="J12" s="5" t="s">
        <v>30</v>
      </c>
      <c r="K12" s="5" t="str">
        <f>CONCATENATE("")</f>
        <v/>
      </c>
      <c r="L12" s="5" t="str">
        <f>CONCATENATE("14 14.1 3a")</f>
        <v>14 14.1 3a</v>
      </c>
      <c r="M12" s="5" t="str">
        <f>CONCATENATE("01532790449")</f>
        <v>01532790449</v>
      </c>
      <c r="N12" s="5" t="s">
        <v>68</v>
      </c>
      <c r="O12" s="5" t="s">
        <v>53</v>
      </c>
      <c r="P12" s="6">
        <v>43987</v>
      </c>
      <c r="Q12" s="5" t="s">
        <v>31</v>
      </c>
      <c r="R12" s="5" t="s">
        <v>32</v>
      </c>
      <c r="S12" s="5" t="s">
        <v>33</v>
      </c>
      <c r="T12" s="5"/>
      <c r="U12" s="7">
        <v>8166.2</v>
      </c>
      <c r="V12" s="7">
        <v>3521.27</v>
      </c>
      <c r="W12" s="7">
        <v>3251.78</v>
      </c>
      <c r="X12" s="5">
        <v>0</v>
      </c>
      <c r="Y12" s="7">
        <v>1393.15</v>
      </c>
    </row>
    <row r="13" spans="1:25" ht="24.75" x14ac:dyDescent="0.25">
      <c r="A13" s="5" t="s">
        <v>26</v>
      </c>
      <c r="B13" s="5" t="s">
        <v>38</v>
      </c>
      <c r="C13" s="5" t="s">
        <v>49</v>
      </c>
      <c r="D13" s="5" t="s">
        <v>58</v>
      </c>
      <c r="E13" s="5" t="s">
        <v>39</v>
      </c>
      <c r="F13" s="5" t="s">
        <v>69</v>
      </c>
      <c r="G13" s="5">
        <v>2017</v>
      </c>
      <c r="H13" s="5" t="str">
        <f>CONCATENATE("74780071457")</f>
        <v>74780071457</v>
      </c>
      <c r="I13" s="5" t="s">
        <v>29</v>
      </c>
      <c r="J13" s="5" t="s">
        <v>47</v>
      </c>
      <c r="K13" s="5" t="str">
        <f>CONCATENATE("221")</f>
        <v>221</v>
      </c>
      <c r="L13" s="5" t="str">
        <f>CONCATENATE("8 8.1 5e")</f>
        <v>8 8.1 5e</v>
      </c>
      <c r="M13" s="5" t="str">
        <f>CONCATENATE("CRLCRL60S27D749I")</f>
        <v>CRLCRL60S27D749I</v>
      </c>
      <c r="N13" s="5" t="s">
        <v>70</v>
      </c>
      <c r="O13" s="5" t="s">
        <v>71</v>
      </c>
      <c r="P13" s="6">
        <v>43987</v>
      </c>
      <c r="Q13" s="5" t="s">
        <v>31</v>
      </c>
      <c r="R13" s="5" t="s">
        <v>32</v>
      </c>
      <c r="S13" s="5" t="s">
        <v>33</v>
      </c>
      <c r="T13" s="5"/>
      <c r="U13" s="5">
        <v>129.04</v>
      </c>
      <c r="V13" s="5">
        <v>55.64</v>
      </c>
      <c r="W13" s="5">
        <v>51.38</v>
      </c>
      <c r="X13" s="5">
        <v>0</v>
      </c>
      <c r="Y13" s="5">
        <v>22.02</v>
      </c>
    </row>
    <row r="14" spans="1:25" ht="24.75" x14ac:dyDescent="0.25">
      <c r="A14" s="5" t="s">
        <v>26</v>
      </c>
      <c r="B14" s="5" t="s">
        <v>38</v>
      </c>
      <c r="C14" s="5" t="s">
        <v>49</v>
      </c>
      <c r="D14" s="5" t="s">
        <v>58</v>
      </c>
      <c r="E14" s="5" t="s">
        <v>39</v>
      </c>
      <c r="F14" s="5" t="s">
        <v>72</v>
      </c>
      <c r="G14" s="5">
        <v>2018</v>
      </c>
      <c r="H14" s="5" t="str">
        <f>CONCATENATE("84780109819")</f>
        <v>84780109819</v>
      </c>
      <c r="I14" s="5" t="s">
        <v>29</v>
      </c>
      <c r="J14" s="5" t="s">
        <v>47</v>
      </c>
      <c r="K14" s="5" t="str">
        <f>CONCATENATE("221")</f>
        <v>221</v>
      </c>
      <c r="L14" s="5" t="str">
        <f>CONCATENATE("8 8.1 5e")</f>
        <v>8 8.1 5e</v>
      </c>
      <c r="M14" s="5" t="str">
        <f>CONCATENATE("VNTNTN61L05F347N")</f>
        <v>VNTNTN61L05F347N</v>
      </c>
      <c r="N14" s="5" t="s">
        <v>73</v>
      </c>
      <c r="O14" s="5" t="s">
        <v>57</v>
      </c>
      <c r="P14" s="6">
        <v>43987</v>
      </c>
      <c r="Q14" s="5" t="s">
        <v>31</v>
      </c>
      <c r="R14" s="5" t="s">
        <v>32</v>
      </c>
      <c r="S14" s="5" t="s">
        <v>33</v>
      </c>
      <c r="T14" s="5"/>
      <c r="U14" s="7">
        <v>1408</v>
      </c>
      <c r="V14" s="5">
        <v>607.13</v>
      </c>
      <c r="W14" s="5">
        <v>560.66999999999996</v>
      </c>
      <c r="X14" s="5">
        <v>0</v>
      </c>
      <c r="Y14" s="5">
        <v>240.2</v>
      </c>
    </row>
    <row r="15" spans="1:25" ht="24.75" x14ac:dyDescent="0.25">
      <c r="A15" s="5" t="s">
        <v>26</v>
      </c>
      <c r="B15" s="5" t="s">
        <v>38</v>
      </c>
      <c r="C15" s="5" t="s">
        <v>49</v>
      </c>
      <c r="D15" s="5" t="s">
        <v>58</v>
      </c>
      <c r="E15" s="5" t="s">
        <v>39</v>
      </c>
      <c r="F15" s="5" t="s">
        <v>69</v>
      </c>
      <c r="G15" s="5">
        <v>2015</v>
      </c>
      <c r="H15" s="5" t="str">
        <f>CONCATENATE("54735087964")</f>
        <v>54735087964</v>
      </c>
      <c r="I15" s="5" t="s">
        <v>29</v>
      </c>
      <c r="J15" s="5" t="s">
        <v>47</v>
      </c>
      <c r="K15" s="5" t="str">
        <f>CONCATENATE("221")</f>
        <v>221</v>
      </c>
      <c r="L15" s="5" t="str">
        <f>CONCATENATE("8 8.1 5e")</f>
        <v>8 8.1 5e</v>
      </c>
      <c r="M15" s="5" t="str">
        <f>CONCATENATE("CRLCRL60S27D749I")</f>
        <v>CRLCRL60S27D749I</v>
      </c>
      <c r="N15" s="5" t="s">
        <v>70</v>
      </c>
      <c r="O15" s="5" t="s">
        <v>74</v>
      </c>
      <c r="P15" s="6">
        <v>43991</v>
      </c>
      <c r="Q15" s="5" t="s">
        <v>31</v>
      </c>
      <c r="R15" s="5" t="s">
        <v>32</v>
      </c>
      <c r="S15" s="5" t="s">
        <v>33</v>
      </c>
      <c r="T15" s="5"/>
      <c r="U15" s="5">
        <v>135.83000000000001</v>
      </c>
      <c r="V15" s="5">
        <v>58.57</v>
      </c>
      <c r="W15" s="5">
        <v>54.09</v>
      </c>
      <c r="X15" s="5">
        <v>0</v>
      </c>
      <c r="Y15" s="5">
        <v>23.17</v>
      </c>
    </row>
    <row r="16" spans="1:25" ht="24.75" x14ac:dyDescent="0.25">
      <c r="A16" s="5" t="s">
        <v>26</v>
      </c>
      <c r="B16" s="5" t="s">
        <v>38</v>
      </c>
      <c r="C16" s="5" t="s">
        <v>49</v>
      </c>
      <c r="D16" s="5" t="s">
        <v>58</v>
      </c>
      <c r="E16" s="5" t="s">
        <v>34</v>
      </c>
      <c r="F16" s="5" t="s">
        <v>75</v>
      </c>
      <c r="G16" s="5">
        <v>2019</v>
      </c>
      <c r="H16" s="5" t="str">
        <f>CONCATENATE("94240460017")</f>
        <v>94240460017</v>
      </c>
      <c r="I16" s="5" t="s">
        <v>29</v>
      </c>
      <c r="J16" s="5" t="s">
        <v>30</v>
      </c>
      <c r="K16" s="5" t="str">
        <f>CONCATENATE("")</f>
        <v/>
      </c>
      <c r="L16" s="5" t="str">
        <f>CONCATENATE("10 10.1 4b")</f>
        <v>10 10.1 4b</v>
      </c>
      <c r="M16" s="5" t="str">
        <f>CONCATENATE("RNZLSE50R10G479H")</f>
        <v>RNZLSE50R10G479H</v>
      </c>
      <c r="N16" s="5" t="s">
        <v>76</v>
      </c>
      <c r="O16" s="5" t="s">
        <v>77</v>
      </c>
      <c r="P16" s="6">
        <v>43987</v>
      </c>
      <c r="Q16" s="5" t="s">
        <v>31</v>
      </c>
      <c r="R16" s="5" t="s">
        <v>32</v>
      </c>
      <c r="S16" s="5" t="s">
        <v>33</v>
      </c>
      <c r="T16" s="5"/>
      <c r="U16" s="7">
        <v>5132.3900000000003</v>
      </c>
      <c r="V16" s="7">
        <v>2213.09</v>
      </c>
      <c r="W16" s="7">
        <v>2043.72</v>
      </c>
      <c r="X16" s="5">
        <v>0</v>
      </c>
      <c r="Y16" s="5">
        <v>875.58</v>
      </c>
    </row>
    <row r="17" spans="1:25" x14ac:dyDescent="0.25">
      <c r="A17" s="5" t="s">
        <v>26</v>
      </c>
      <c r="B17" s="5" t="s">
        <v>27</v>
      </c>
      <c r="C17" s="5" t="s">
        <v>49</v>
      </c>
      <c r="D17" s="5" t="s">
        <v>49</v>
      </c>
      <c r="E17" s="5" t="s">
        <v>36</v>
      </c>
      <c r="F17" s="5" t="s">
        <v>36</v>
      </c>
      <c r="G17" s="5">
        <v>2017</v>
      </c>
      <c r="H17" s="5" t="str">
        <f>CONCATENATE("94270173993")</f>
        <v>94270173993</v>
      </c>
      <c r="I17" s="5" t="s">
        <v>29</v>
      </c>
      <c r="J17" s="5" t="s">
        <v>30</v>
      </c>
      <c r="K17" s="5" t="str">
        <f>CONCATENATE("")</f>
        <v/>
      </c>
      <c r="L17" s="5" t="str">
        <f>CONCATENATE("19 19.2 6b")</f>
        <v>19 19.2 6b</v>
      </c>
      <c r="M17" s="5" t="str">
        <f>CONCATENATE("SCRLRA79R50I459U")</f>
        <v>SCRLRA79R50I459U</v>
      </c>
      <c r="N17" s="5" t="s">
        <v>78</v>
      </c>
      <c r="O17" s="5" t="s">
        <v>79</v>
      </c>
      <c r="P17" s="6">
        <v>43964</v>
      </c>
      <c r="Q17" s="5" t="s">
        <v>31</v>
      </c>
      <c r="R17" s="5" t="s">
        <v>40</v>
      </c>
      <c r="S17" s="5" t="s">
        <v>33</v>
      </c>
      <c r="T17" s="5"/>
      <c r="U17" s="7">
        <v>30000</v>
      </c>
      <c r="V17" s="7">
        <v>12936</v>
      </c>
      <c r="W17" s="7">
        <v>11946</v>
      </c>
      <c r="X17" s="5">
        <v>0</v>
      </c>
      <c r="Y17" s="7">
        <v>5118</v>
      </c>
    </row>
    <row r="18" spans="1:25" ht="24.75" x14ac:dyDescent="0.25">
      <c r="A18" s="5" t="s">
        <v>26</v>
      </c>
      <c r="B18" s="5" t="s">
        <v>38</v>
      </c>
      <c r="C18" s="5" t="s">
        <v>49</v>
      </c>
      <c r="D18" s="5" t="s">
        <v>58</v>
      </c>
      <c r="E18" s="5" t="s">
        <v>39</v>
      </c>
      <c r="F18" s="5" t="s">
        <v>80</v>
      </c>
      <c r="G18" s="5">
        <v>2019</v>
      </c>
      <c r="H18" s="5" t="str">
        <f>CONCATENATE("94240873664")</f>
        <v>94240873664</v>
      </c>
      <c r="I18" s="5" t="s">
        <v>29</v>
      </c>
      <c r="J18" s="5" t="s">
        <v>30</v>
      </c>
      <c r="K18" s="5" t="str">
        <f>CONCATENATE("")</f>
        <v/>
      </c>
      <c r="L18" s="5" t="str">
        <f>CONCATENATE("10 10.1 4b")</f>
        <v>10 10.1 4b</v>
      </c>
      <c r="M18" s="5" t="str">
        <f>CONCATENATE("BRTFBA62L13I285V")</f>
        <v>BRTFBA62L13I285V</v>
      </c>
      <c r="N18" s="5" t="s">
        <v>81</v>
      </c>
      <c r="O18" s="5" t="s">
        <v>82</v>
      </c>
      <c r="P18" s="6">
        <v>43987</v>
      </c>
      <c r="Q18" s="5" t="s">
        <v>31</v>
      </c>
      <c r="R18" s="5" t="s">
        <v>32</v>
      </c>
      <c r="S18" s="5" t="s">
        <v>33</v>
      </c>
      <c r="T18" s="5"/>
      <c r="U18" s="7">
        <v>8833.82</v>
      </c>
      <c r="V18" s="7">
        <v>3809.14</v>
      </c>
      <c r="W18" s="7">
        <v>3517.63</v>
      </c>
      <c r="X18" s="5">
        <v>0</v>
      </c>
      <c r="Y18" s="7">
        <v>1507.05</v>
      </c>
    </row>
    <row r="19" spans="1:25" ht="24.75" x14ac:dyDescent="0.25">
      <c r="A19" s="5" t="s">
        <v>26</v>
      </c>
      <c r="B19" s="5" t="s">
        <v>38</v>
      </c>
      <c r="C19" s="5" t="s">
        <v>49</v>
      </c>
      <c r="D19" s="5" t="s">
        <v>58</v>
      </c>
      <c r="E19" s="5" t="s">
        <v>34</v>
      </c>
      <c r="F19" s="5" t="s">
        <v>83</v>
      </c>
      <c r="G19" s="5">
        <v>2019</v>
      </c>
      <c r="H19" s="5" t="str">
        <f>CONCATENATE("94240936032")</f>
        <v>94240936032</v>
      </c>
      <c r="I19" s="5" t="s">
        <v>29</v>
      </c>
      <c r="J19" s="5" t="s">
        <v>30</v>
      </c>
      <c r="K19" s="5" t="str">
        <f>CONCATENATE("")</f>
        <v/>
      </c>
      <c r="L19" s="5" t="str">
        <f>CONCATENATE("10 10.1 4b")</f>
        <v>10 10.1 4b</v>
      </c>
      <c r="M19" s="5" t="str">
        <f>CONCATENATE("GVLCLD70H19I285J")</f>
        <v>GVLCLD70H19I285J</v>
      </c>
      <c r="N19" s="5" t="s">
        <v>84</v>
      </c>
      <c r="O19" s="5" t="s">
        <v>82</v>
      </c>
      <c r="P19" s="6">
        <v>43987</v>
      </c>
      <c r="Q19" s="5" t="s">
        <v>31</v>
      </c>
      <c r="R19" s="5" t="s">
        <v>32</v>
      </c>
      <c r="S19" s="5" t="s">
        <v>33</v>
      </c>
      <c r="T19" s="5"/>
      <c r="U19" s="7">
        <v>3934.78</v>
      </c>
      <c r="V19" s="7">
        <v>1696.68</v>
      </c>
      <c r="W19" s="7">
        <v>1566.83</v>
      </c>
      <c r="X19" s="5">
        <v>0</v>
      </c>
      <c r="Y19" s="5">
        <v>671.27</v>
      </c>
    </row>
    <row r="20" spans="1:25" ht="24.75" x14ac:dyDescent="0.25">
      <c r="A20" s="5" t="s">
        <v>26</v>
      </c>
      <c r="B20" s="5" t="s">
        <v>38</v>
      </c>
      <c r="C20" s="5" t="s">
        <v>49</v>
      </c>
      <c r="D20" s="5" t="s">
        <v>58</v>
      </c>
      <c r="E20" s="5" t="s">
        <v>39</v>
      </c>
      <c r="F20" s="5" t="s">
        <v>80</v>
      </c>
      <c r="G20" s="5">
        <v>2019</v>
      </c>
      <c r="H20" s="5" t="str">
        <f>CONCATENATE("94240875743")</f>
        <v>94240875743</v>
      </c>
      <c r="I20" s="5" t="s">
        <v>29</v>
      </c>
      <c r="J20" s="5" t="s">
        <v>30</v>
      </c>
      <c r="K20" s="5" t="str">
        <f>CONCATENATE("")</f>
        <v/>
      </c>
      <c r="L20" s="5" t="str">
        <f>CONCATENATE("10 10.1 4b")</f>
        <v>10 10.1 4b</v>
      </c>
      <c r="M20" s="5" t="str">
        <f>CONCATENATE("GMBPLA67E11G479R")</f>
        <v>GMBPLA67E11G479R</v>
      </c>
      <c r="N20" s="5" t="s">
        <v>85</v>
      </c>
      <c r="O20" s="5" t="s">
        <v>77</v>
      </c>
      <c r="P20" s="6">
        <v>43987</v>
      </c>
      <c r="Q20" s="5" t="s">
        <v>31</v>
      </c>
      <c r="R20" s="5" t="s">
        <v>32</v>
      </c>
      <c r="S20" s="5" t="s">
        <v>33</v>
      </c>
      <c r="T20" s="5"/>
      <c r="U20" s="7">
        <v>4212.6000000000004</v>
      </c>
      <c r="V20" s="7">
        <v>1816.47</v>
      </c>
      <c r="W20" s="7">
        <v>1677.46</v>
      </c>
      <c r="X20" s="5">
        <v>0</v>
      </c>
      <c r="Y20" s="5">
        <v>718.67</v>
      </c>
    </row>
    <row r="21" spans="1:25" ht="24.75" x14ac:dyDescent="0.25">
      <c r="A21" s="5" t="s">
        <v>26</v>
      </c>
      <c r="B21" s="5" t="s">
        <v>38</v>
      </c>
      <c r="C21" s="5" t="s">
        <v>49</v>
      </c>
      <c r="D21" s="5" t="s">
        <v>58</v>
      </c>
      <c r="E21" s="5" t="s">
        <v>39</v>
      </c>
      <c r="F21" s="5" t="s">
        <v>80</v>
      </c>
      <c r="G21" s="5">
        <v>2019</v>
      </c>
      <c r="H21" s="5" t="str">
        <f>CONCATENATE("94240880511")</f>
        <v>94240880511</v>
      </c>
      <c r="I21" s="5" t="s">
        <v>29</v>
      </c>
      <c r="J21" s="5" t="s">
        <v>30</v>
      </c>
      <c r="K21" s="5" t="str">
        <f>CONCATENATE("")</f>
        <v/>
      </c>
      <c r="L21" s="5" t="str">
        <f>CONCATENATE("10 10.1 4b")</f>
        <v>10 10.1 4b</v>
      </c>
      <c r="M21" s="5" t="str">
        <f>CONCATENATE("02486570415")</f>
        <v>02486570415</v>
      </c>
      <c r="N21" s="5" t="s">
        <v>86</v>
      </c>
      <c r="O21" s="5" t="s">
        <v>77</v>
      </c>
      <c r="P21" s="6">
        <v>43987</v>
      </c>
      <c r="Q21" s="5" t="s">
        <v>31</v>
      </c>
      <c r="R21" s="5" t="s">
        <v>32</v>
      </c>
      <c r="S21" s="5" t="s">
        <v>33</v>
      </c>
      <c r="T21" s="5"/>
      <c r="U21" s="7">
        <v>4884.5</v>
      </c>
      <c r="V21" s="7">
        <v>2106.1999999999998</v>
      </c>
      <c r="W21" s="7">
        <v>1945.01</v>
      </c>
      <c r="X21" s="5">
        <v>0</v>
      </c>
      <c r="Y21" s="5">
        <v>833.29</v>
      </c>
    </row>
    <row r="22" spans="1:25" x14ac:dyDescent="0.25">
      <c r="A22" s="5" t="s">
        <v>26</v>
      </c>
      <c r="B22" s="5" t="s">
        <v>38</v>
      </c>
      <c r="C22" s="5" t="s">
        <v>49</v>
      </c>
      <c r="D22" s="5" t="s">
        <v>87</v>
      </c>
      <c r="E22" s="5" t="s">
        <v>39</v>
      </c>
      <c r="F22" s="5" t="s">
        <v>88</v>
      </c>
      <c r="G22" s="5">
        <v>2019</v>
      </c>
      <c r="H22" s="5" t="str">
        <f>CONCATENATE("94240657950")</f>
        <v>94240657950</v>
      </c>
      <c r="I22" s="5" t="s">
        <v>29</v>
      </c>
      <c r="J22" s="5" t="s">
        <v>30</v>
      </c>
      <c r="K22" s="5" t="str">
        <f>CONCATENATE("")</f>
        <v/>
      </c>
      <c r="L22" s="5" t="str">
        <f>CONCATENATE("10 10.1 4a")</f>
        <v>10 10.1 4a</v>
      </c>
      <c r="M22" s="5" t="str">
        <f>CONCATENATE("RCCDVD60M25D564G")</f>
        <v>RCCDVD60M25D564G</v>
      </c>
      <c r="N22" s="5" t="s">
        <v>89</v>
      </c>
      <c r="O22" s="5" t="s">
        <v>90</v>
      </c>
      <c r="P22" s="6">
        <v>43987</v>
      </c>
      <c r="Q22" s="5" t="s">
        <v>31</v>
      </c>
      <c r="R22" s="5" t="s">
        <v>32</v>
      </c>
      <c r="S22" s="5" t="s">
        <v>33</v>
      </c>
      <c r="T22" s="5"/>
      <c r="U22" s="7">
        <v>4136.3999999999996</v>
      </c>
      <c r="V22" s="7">
        <v>1783.62</v>
      </c>
      <c r="W22" s="7">
        <v>1647.11</v>
      </c>
      <c r="X22" s="5">
        <v>0</v>
      </c>
      <c r="Y22" s="5">
        <v>705.67</v>
      </c>
    </row>
    <row r="23" spans="1:25" x14ac:dyDescent="0.25">
      <c r="A23" s="5" t="s">
        <v>26</v>
      </c>
      <c r="B23" s="5" t="s">
        <v>38</v>
      </c>
      <c r="C23" s="5" t="s">
        <v>49</v>
      </c>
      <c r="D23" s="5" t="s">
        <v>87</v>
      </c>
      <c r="E23" s="5" t="s">
        <v>35</v>
      </c>
      <c r="F23" s="5" t="s">
        <v>91</v>
      </c>
      <c r="G23" s="5">
        <v>2019</v>
      </c>
      <c r="H23" s="5" t="str">
        <f>CONCATENATE("94240574684")</f>
        <v>94240574684</v>
      </c>
      <c r="I23" s="5" t="s">
        <v>29</v>
      </c>
      <c r="J23" s="5" t="s">
        <v>30</v>
      </c>
      <c r="K23" s="5" t="str">
        <f>CONCATENATE("")</f>
        <v/>
      </c>
      <c r="L23" s="5" t="str">
        <f>CONCATENATE("10 10.1 4a")</f>
        <v>10 10.1 4a</v>
      </c>
      <c r="M23" s="5" t="str">
        <f>CONCATENATE("RCCSFN79A06I156Z")</f>
        <v>RCCSFN79A06I156Z</v>
      </c>
      <c r="N23" s="5" t="s">
        <v>92</v>
      </c>
      <c r="O23" s="5" t="s">
        <v>90</v>
      </c>
      <c r="P23" s="6">
        <v>43987</v>
      </c>
      <c r="Q23" s="5" t="s">
        <v>31</v>
      </c>
      <c r="R23" s="5" t="s">
        <v>32</v>
      </c>
      <c r="S23" s="5" t="s">
        <v>33</v>
      </c>
      <c r="T23" s="5"/>
      <c r="U23" s="7">
        <v>11244.78</v>
      </c>
      <c r="V23" s="7">
        <v>4848.75</v>
      </c>
      <c r="W23" s="7">
        <v>4477.67</v>
      </c>
      <c r="X23" s="5">
        <v>0</v>
      </c>
      <c r="Y23" s="7">
        <v>1918.36</v>
      </c>
    </row>
    <row r="24" spans="1:25" x14ac:dyDescent="0.25">
      <c r="A24" s="5" t="s">
        <v>26</v>
      </c>
      <c r="B24" s="5" t="s">
        <v>38</v>
      </c>
      <c r="C24" s="5" t="s">
        <v>49</v>
      </c>
      <c r="D24" s="5" t="s">
        <v>87</v>
      </c>
      <c r="E24" s="5" t="s">
        <v>39</v>
      </c>
      <c r="F24" s="5" t="s">
        <v>88</v>
      </c>
      <c r="G24" s="5">
        <v>2019</v>
      </c>
      <c r="H24" s="5" t="str">
        <f>CONCATENATE("94240890791")</f>
        <v>94240890791</v>
      </c>
      <c r="I24" s="5" t="s">
        <v>29</v>
      </c>
      <c r="J24" s="5" t="s">
        <v>30</v>
      </c>
      <c r="K24" s="5" t="str">
        <f>CONCATENATE("")</f>
        <v/>
      </c>
      <c r="L24" s="5" t="str">
        <f>CONCATENATE("10 10.1 4a")</f>
        <v>10 10.1 4a</v>
      </c>
      <c r="M24" s="5" t="str">
        <f>CONCATENATE("01917330431")</f>
        <v>01917330431</v>
      </c>
      <c r="N24" s="5" t="s">
        <v>93</v>
      </c>
      <c r="O24" s="5" t="s">
        <v>90</v>
      </c>
      <c r="P24" s="6">
        <v>43987</v>
      </c>
      <c r="Q24" s="5" t="s">
        <v>31</v>
      </c>
      <c r="R24" s="5" t="s">
        <v>32</v>
      </c>
      <c r="S24" s="5" t="s">
        <v>33</v>
      </c>
      <c r="T24" s="5"/>
      <c r="U24" s="7">
        <v>6956.27</v>
      </c>
      <c r="V24" s="7">
        <v>2999.54</v>
      </c>
      <c r="W24" s="7">
        <v>2769.99</v>
      </c>
      <c r="X24" s="5">
        <v>0</v>
      </c>
      <c r="Y24" s="7">
        <v>1186.74</v>
      </c>
    </row>
    <row r="25" spans="1:25" ht="24.75" x14ac:dyDescent="0.25">
      <c r="A25" s="5" t="s">
        <v>26</v>
      </c>
      <c r="B25" s="5" t="s">
        <v>38</v>
      </c>
      <c r="C25" s="5" t="s">
        <v>49</v>
      </c>
      <c r="D25" s="5" t="s">
        <v>87</v>
      </c>
      <c r="E25" s="5" t="s">
        <v>35</v>
      </c>
      <c r="F25" s="5" t="s">
        <v>94</v>
      </c>
      <c r="G25" s="5">
        <v>2019</v>
      </c>
      <c r="H25" s="5" t="str">
        <f>CONCATENATE("94240506553")</f>
        <v>94240506553</v>
      </c>
      <c r="I25" s="5" t="s">
        <v>29</v>
      </c>
      <c r="J25" s="5" t="s">
        <v>30</v>
      </c>
      <c r="K25" s="5" t="str">
        <f>CONCATENATE("")</f>
        <v/>
      </c>
      <c r="L25" s="5" t="str">
        <f>CONCATENATE("10 10.1 4a")</f>
        <v>10 10.1 4a</v>
      </c>
      <c r="M25" s="5" t="str">
        <f>CONCATENATE("02003040439")</f>
        <v>02003040439</v>
      </c>
      <c r="N25" s="5" t="s">
        <v>95</v>
      </c>
      <c r="O25" s="5" t="s">
        <v>90</v>
      </c>
      <c r="P25" s="6">
        <v>43987</v>
      </c>
      <c r="Q25" s="5" t="s">
        <v>31</v>
      </c>
      <c r="R25" s="5" t="s">
        <v>32</v>
      </c>
      <c r="S25" s="5" t="s">
        <v>33</v>
      </c>
      <c r="T25" s="5"/>
      <c r="U25" s="7">
        <v>13531.07</v>
      </c>
      <c r="V25" s="7">
        <v>5834.6</v>
      </c>
      <c r="W25" s="7">
        <v>5388.07</v>
      </c>
      <c r="X25" s="5">
        <v>0</v>
      </c>
      <c r="Y25" s="7">
        <v>2308.4</v>
      </c>
    </row>
    <row r="26" spans="1:25" ht="24.75" x14ac:dyDescent="0.25">
      <c r="A26" s="5" t="s">
        <v>26</v>
      </c>
      <c r="B26" s="5" t="s">
        <v>38</v>
      </c>
      <c r="C26" s="5" t="s">
        <v>49</v>
      </c>
      <c r="D26" s="5" t="s">
        <v>87</v>
      </c>
      <c r="E26" s="5" t="s">
        <v>39</v>
      </c>
      <c r="F26" s="5" t="s">
        <v>88</v>
      </c>
      <c r="G26" s="5">
        <v>2019</v>
      </c>
      <c r="H26" s="5" t="str">
        <f>CONCATENATE("94240687866")</f>
        <v>94240687866</v>
      </c>
      <c r="I26" s="5" t="s">
        <v>29</v>
      </c>
      <c r="J26" s="5" t="s">
        <v>30</v>
      </c>
      <c r="K26" s="5" t="str">
        <f>CONCATENATE("")</f>
        <v/>
      </c>
      <c r="L26" s="5" t="str">
        <f>CONCATENATE("10 10.1 4a")</f>
        <v>10 10.1 4a</v>
      </c>
      <c r="M26" s="5" t="str">
        <f>CONCATENATE("00735960437")</f>
        <v>00735960437</v>
      </c>
      <c r="N26" s="5" t="s">
        <v>96</v>
      </c>
      <c r="O26" s="5" t="s">
        <v>90</v>
      </c>
      <c r="P26" s="6">
        <v>43987</v>
      </c>
      <c r="Q26" s="5" t="s">
        <v>31</v>
      </c>
      <c r="R26" s="5" t="s">
        <v>32</v>
      </c>
      <c r="S26" s="5" t="s">
        <v>33</v>
      </c>
      <c r="T26" s="5"/>
      <c r="U26" s="7">
        <v>4273</v>
      </c>
      <c r="V26" s="7">
        <v>1842.52</v>
      </c>
      <c r="W26" s="7">
        <v>1701.51</v>
      </c>
      <c r="X26" s="5">
        <v>0</v>
      </c>
      <c r="Y26" s="5">
        <v>728.97</v>
      </c>
    </row>
    <row r="27" spans="1:25" ht="24.75" x14ac:dyDescent="0.25">
      <c r="A27" s="5" t="s">
        <v>26</v>
      </c>
      <c r="B27" s="5" t="s">
        <v>38</v>
      </c>
      <c r="C27" s="5" t="s">
        <v>49</v>
      </c>
      <c r="D27" s="5" t="s">
        <v>58</v>
      </c>
      <c r="E27" s="5" t="s">
        <v>39</v>
      </c>
      <c r="F27" s="5" t="s">
        <v>97</v>
      </c>
      <c r="G27" s="5">
        <v>2019</v>
      </c>
      <c r="H27" s="5" t="str">
        <f>CONCATENATE("94780060748")</f>
        <v>94780060748</v>
      </c>
      <c r="I27" s="5" t="s">
        <v>29</v>
      </c>
      <c r="J27" s="5" t="s">
        <v>47</v>
      </c>
      <c r="K27" s="5" t="str">
        <f>CONCATENATE("221")</f>
        <v>221</v>
      </c>
      <c r="L27" s="5" t="str">
        <f>CONCATENATE("8 8.1 5e")</f>
        <v>8 8.1 5e</v>
      </c>
      <c r="M27" s="5" t="str">
        <f>CONCATENATE("DDMNLT73M68B352P")</f>
        <v>DDMNLT73M68B352P</v>
      </c>
      <c r="N27" s="5" t="s">
        <v>98</v>
      </c>
      <c r="O27" s="5" t="s">
        <v>99</v>
      </c>
      <c r="P27" s="6">
        <v>43987</v>
      </c>
      <c r="Q27" s="5" t="s">
        <v>31</v>
      </c>
      <c r="R27" s="5" t="s">
        <v>32</v>
      </c>
      <c r="S27" s="5" t="s">
        <v>33</v>
      </c>
      <c r="T27" s="5"/>
      <c r="U27" s="5">
        <v>208.4</v>
      </c>
      <c r="V27" s="5">
        <v>89.86</v>
      </c>
      <c r="W27" s="5">
        <v>82.98</v>
      </c>
      <c r="X27" s="5">
        <v>0</v>
      </c>
      <c r="Y27" s="5">
        <v>35.56</v>
      </c>
    </row>
    <row r="28" spans="1:25" ht="24.75" x14ac:dyDescent="0.25">
      <c r="A28" s="5" t="s">
        <v>26</v>
      </c>
      <c r="B28" s="5" t="s">
        <v>38</v>
      </c>
      <c r="C28" s="5" t="s">
        <v>49</v>
      </c>
      <c r="D28" s="5" t="s">
        <v>50</v>
      </c>
      <c r="E28" s="5" t="s">
        <v>36</v>
      </c>
      <c r="F28" s="5" t="s">
        <v>36</v>
      </c>
      <c r="G28" s="5">
        <v>2019</v>
      </c>
      <c r="H28" s="5" t="str">
        <f>CONCATENATE("94241118747")</f>
        <v>94241118747</v>
      </c>
      <c r="I28" s="5" t="s">
        <v>29</v>
      </c>
      <c r="J28" s="5" t="s">
        <v>30</v>
      </c>
      <c r="K28" s="5" t="str">
        <f>CONCATENATE("")</f>
        <v/>
      </c>
      <c r="L28" s="5" t="str">
        <f>CONCATENATE("10 10.1 4a")</f>
        <v>10 10.1 4a</v>
      </c>
      <c r="M28" s="5" t="str">
        <f>CONCATENATE("01517310445")</f>
        <v>01517310445</v>
      </c>
      <c r="N28" s="5" t="s">
        <v>100</v>
      </c>
      <c r="O28" s="5" t="s">
        <v>90</v>
      </c>
      <c r="P28" s="6">
        <v>43987</v>
      </c>
      <c r="Q28" s="5" t="s">
        <v>31</v>
      </c>
      <c r="R28" s="5" t="s">
        <v>32</v>
      </c>
      <c r="S28" s="5" t="s">
        <v>33</v>
      </c>
      <c r="T28" s="5"/>
      <c r="U28" s="7">
        <v>24532.17</v>
      </c>
      <c r="V28" s="7">
        <v>10578.27</v>
      </c>
      <c r="W28" s="7">
        <v>9768.7099999999991</v>
      </c>
      <c r="X28" s="5">
        <v>0</v>
      </c>
      <c r="Y28" s="7">
        <v>4185.1899999999996</v>
      </c>
    </row>
    <row r="29" spans="1:25" ht="24.75" x14ac:dyDescent="0.25">
      <c r="A29" s="5" t="s">
        <v>26</v>
      </c>
      <c r="B29" s="5" t="s">
        <v>38</v>
      </c>
      <c r="C29" s="5" t="s">
        <v>49</v>
      </c>
      <c r="D29" s="5" t="s">
        <v>50</v>
      </c>
      <c r="E29" s="5" t="s">
        <v>36</v>
      </c>
      <c r="F29" s="5" t="s">
        <v>36</v>
      </c>
      <c r="G29" s="5">
        <v>2018</v>
      </c>
      <c r="H29" s="5" t="str">
        <f>CONCATENATE("84240906739")</f>
        <v>84240906739</v>
      </c>
      <c r="I29" s="5" t="s">
        <v>29</v>
      </c>
      <c r="J29" s="5" t="s">
        <v>30</v>
      </c>
      <c r="K29" s="5" t="str">
        <f>CONCATENATE("")</f>
        <v/>
      </c>
      <c r="L29" s="5" t="str">
        <f>CONCATENATE("10 10.1 4a")</f>
        <v>10 10.1 4a</v>
      </c>
      <c r="M29" s="5" t="str">
        <f>CONCATENATE("01517310445")</f>
        <v>01517310445</v>
      </c>
      <c r="N29" s="5" t="s">
        <v>100</v>
      </c>
      <c r="O29" s="5" t="s">
        <v>90</v>
      </c>
      <c r="P29" s="6">
        <v>43987</v>
      </c>
      <c r="Q29" s="5" t="s">
        <v>31</v>
      </c>
      <c r="R29" s="5" t="s">
        <v>32</v>
      </c>
      <c r="S29" s="5" t="s">
        <v>33</v>
      </c>
      <c r="T29" s="5"/>
      <c r="U29" s="7">
        <v>25463.79</v>
      </c>
      <c r="V29" s="7">
        <v>10979.99</v>
      </c>
      <c r="W29" s="7">
        <v>10139.68</v>
      </c>
      <c r="X29" s="5">
        <v>0</v>
      </c>
      <c r="Y29" s="7">
        <v>4344.12</v>
      </c>
    </row>
    <row r="30" spans="1:25" ht="24.75" x14ac:dyDescent="0.25">
      <c r="A30" s="5" t="s">
        <v>26</v>
      </c>
      <c r="B30" s="5" t="s">
        <v>38</v>
      </c>
      <c r="C30" s="5" t="s">
        <v>49</v>
      </c>
      <c r="D30" s="5" t="s">
        <v>87</v>
      </c>
      <c r="E30" s="5" t="s">
        <v>39</v>
      </c>
      <c r="F30" s="5" t="s">
        <v>88</v>
      </c>
      <c r="G30" s="5">
        <v>2019</v>
      </c>
      <c r="H30" s="5" t="str">
        <f>CONCATENATE("94240631815")</f>
        <v>94240631815</v>
      </c>
      <c r="I30" s="5" t="s">
        <v>29</v>
      </c>
      <c r="J30" s="5" t="s">
        <v>30</v>
      </c>
      <c r="K30" s="5" t="str">
        <f>CONCATENATE("")</f>
        <v/>
      </c>
      <c r="L30" s="5" t="str">
        <f>CONCATENATE("10 10.1 4a")</f>
        <v>10 10.1 4a</v>
      </c>
      <c r="M30" s="5" t="str">
        <f>CONCATENATE("00395920432")</f>
        <v>00395920432</v>
      </c>
      <c r="N30" s="5" t="s">
        <v>101</v>
      </c>
      <c r="O30" s="5" t="s">
        <v>90</v>
      </c>
      <c r="P30" s="6">
        <v>43987</v>
      </c>
      <c r="Q30" s="5" t="s">
        <v>31</v>
      </c>
      <c r="R30" s="5" t="s">
        <v>32</v>
      </c>
      <c r="S30" s="5" t="s">
        <v>33</v>
      </c>
      <c r="T30" s="5"/>
      <c r="U30" s="7">
        <v>4526.51</v>
      </c>
      <c r="V30" s="7">
        <v>1951.83</v>
      </c>
      <c r="W30" s="7">
        <v>1802.46</v>
      </c>
      <c r="X30" s="5">
        <v>0</v>
      </c>
      <c r="Y30" s="5">
        <v>772.22</v>
      </c>
    </row>
    <row r="31" spans="1:25" x14ac:dyDescent="0.25">
      <c r="A31" s="5" t="s">
        <v>26</v>
      </c>
      <c r="B31" s="5" t="s">
        <v>38</v>
      </c>
      <c r="C31" s="5" t="s">
        <v>49</v>
      </c>
      <c r="D31" s="5" t="s">
        <v>87</v>
      </c>
      <c r="E31" s="5" t="s">
        <v>39</v>
      </c>
      <c r="F31" s="5" t="s">
        <v>102</v>
      </c>
      <c r="G31" s="5">
        <v>2019</v>
      </c>
      <c r="H31" s="5" t="str">
        <f>CONCATENATE("94240811011")</f>
        <v>94240811011</v>
      </c>
      <c r="I31" s="5" t="s">
        <v>29</v>
      </c>
      <c r="J31" s="5" t="s">
        <v>30</v>
      </c>
      <c r="K31" s="5" t="str">
        <f>CONCATENATE("")</f>
        <v/>
      </c>
      <c r="L31" s="5" t="str">
        <f>CONCATENATE("10 10.1 4a")</f>
        <v>10 10.1 4a</v>
      </c>
      <c r="M31" s="5" t="str">
        <f>CONCATENATE("TRCRNZ68E17I156U")</f>
        <v>TRCRNZ68E17I156U</v>
      </c>
      <c r="N31" s="5" t="s">
        <v>103</v>
      </c>
      <c r="O31" s="5" t="s">
        <v>90</v>
      </c>
      <c r="P31" s="6">
        <v>43987</v>
      </c>
      <c r="Q31" s="5" t="s">
        <v>31</v>
      </c>
      <c r="R31" s="5" t="s">
        <v>32</v>
      </c>
      <c r="S31" s="5" t="s">
        <v>33</v>
      </c>
      <c r="T31" s="5"/>
      <c r="U31" s="7">
        <v>20156.810000000001</v>
      </c>
      <c r="V31" s="7">
        <v>8691.6200000000008</v>
      </c>
      <c r="W31" s="7">
        <v>8026.44</v>
      </c>
      <c r="X31" s="5">
        <v>0</v>
      </c>
      <c r="Y31" s="7">
        <v>3438.75</v>
      </c>
    </row>
    <row r="32" spans="1:25" ht="24.75" x14ac:dyDescent="0.25">
      <c r="A32" s="5" t="s">
        <v>26</v>
      </c>
      <c r="B32" s="5" t="s">
        <v>27</v>
      </c>
      <c r="C32" s="5" t="s">
        <v>49</v>
      </c>
      <c r="D32" s="5" t="s">
        <v>50</v>
      </c>
      <c r="E32" s="5" t="s">
        <v>36</v>
      </c>
      <c r="F32" s="5" t="s">
        <v>36</v>
      </c>
      <c r="G32" s="5">
        <v>2017</v>
      </c>
      <c r="H32" s="5" t="str">
        <f>CONCATENATE("94270174017")</f>
        <v>94270174017</v>
      </c>
      <c r="I32" s="5" t="s">
        <v>29</v>
      </c>
      <c r="J32" s="5" t="s">
        <v>30</v>
      </c>
      <c r="K32" s="5" t="str">
        <f>CONCATENATE("")</f>
        <v/>
      </c>
      <c r="L32" s="5" t="str">
        <f>CONCATENATE("1 1.1 2a")</f>
        <v>1 1.1 2a</v>
      </c>
      <c r="M32" s="5" t="str">
        <f>CONCATENATE("01894800430")</f>
        <v>01894800430</v>
      </c>
      <c r="N32" s="5" t="s">
        <v>104</v>
      </c>
      <c r="O32" s="5" t="s">
        <v>105</v>
      </c>
      <c r="P32" s="6">
        <v>43987</v>
      </c>
      <c r="Q32" s="5" t="s">
        <v>31</v>
      </c>
      <c r="R32" s="5" t="s">
        <v>32</v>
      </c>
      <c r="S32" s="5" t="s">
        <v>33</v>
      </c>
      <c r="T32" s="5"/>
      <c r="U32" s="7">
        <v>8229.1200000000008</v>
      </c>
      <c r="V32" s="7">
        <v>3548.4</v>
      </c>
      <c r="W32" s="7">
        <v>3276.84</v>
      </c>
      <c r="X32" s="5">
        <v>0</v>
      </c>
      <c r="Y32" s="7">
        <v>1403.88</v>
      </c>
    </row>
    <row r="33" spans="1:25" ht="24.75" x14ac:dyDescent="0.25">
      <c r="A33" s="5" t="s">
        <v>26</v>
      </c>
      <c r="B33" s="5" t="s">
        <v>38</v>
      </c>
      <c r="C33" s="5" t="s">
        <v>49</v>
      </c>
      <c r="D33" s="5" t="s">
        <v>58</v>
      </c>
      <c r="E33" s="5" t="s">
        <v>34</v>
      </c>
      <c r="F33" s="5" t="s">
        <v>83</v>
      </c>
      <c r="G33" s="5">
        <v>2017</v>
      </c>
      <c r="H33" s="5" t="str">
        <f>CONCATENATE("74780077355")</f>
        <v>74780077355</v>
      </c>
      <c r="I33" s="5" t="s">
        <v>29</v>
      </c>
      <c r="J33" s="5" t="s">
        <v>47</v>
      </c>
      <c r="K33" s="5" t="str">
        <f>CONCATENATE("221")</f>
        <v>221</v>
      </c>
      <c r="L33" s="5" t="str">
        <f>CONCATENATE("8 8.1 5e")</f>
        <v>8 8.1 5e</v>
      </c>
      <c r="M33" s="5" t="str">
        <f>CONCATENATE("PNTRTI58M69H501Z")</f>
        <v>PNTRTI58M69H501Z</v>
      </c>
      <c r="N33" s="5" t="s">
        <v>106</v>
      </c>
      <c r="O33" s="5" t="s">
        <v>107</v>
      </c>
      <c r="P33" s="6">
        <v>43987</v>
      </c>
      <c r="Q33" s="5" t="s">
        <v>31</v>
      </c>
      <c r="R33" s="5" t="s">
        <v>32</v>
      </c>
      <c r="S33" s="5" t="s">
        <v>33</v>
      </c>
      <c r="T33" s="5"/>
      <c r="U33" s="5">
        <v>362.6</v>
      </c>
      <c r="V33" s="5">
        <v>156.35</v>
      </c>
      <c r="W33" s="5">
        <v>144.38999999999999</v>
      </c>
      <c r="X33" s="5">
        <v>0</v>
      </c>
      <c r="Y33" s="5">
        <v>61.86</v>
      </c>
    </row>
    <row r="34" spans="1:25" ht="24.75" x14ac:dyDescent="0.25">
      <c r="A34" s="5" t="s">
        <v>26</v>
      </c>
      <c r="B34" s="5" t="s">
        <v>38</v>
      </c>
      <c r="C34" s="5" t="s">
        <v>49</v>
      </c>
      <c r="D34" s="5" t="s">
        <v>58</v>
      </c>
      <c r="E34" s="5" t="s">
        <v>39</v>
      </c>
      <c r="F34" s="5" t="s">
        <v>69</v>
      </c>
      <c r="G34" s="5">
        <v>2017</v>
      </c>
      <c r="H34" s="5" t="str">
        <f>CONCATENATE("74780152802")</f>
        <v>74780152802</v>
      </c>
      <c r="I34" s="5" t="s">
        <v>29</v>
      </c>
      <c r="J34" s="5" t="s">
        <v>47</v>
      </c>
      <c r="K34" s="5" t="str">
        <f>CONCATENATE("221")</f>
        <v>221</v>
      </c>
      <c r="L34" s="5" t="str">
        <f>CONCATENATE("8 8.1 5e")</f>
        <v>8 8.1 5e</v>
      </c>
      <c r="M34" s="5" t="str">
        <f>CONCATENATE("MNCDNL83R15D749D")</f>
        <v>MNCDNL83R15D749D</v>
      </c>
      <c r="N34" s="5" t="s">
        <v>108</v>
      </c>
      <c r="O34" s="5" t="s">
        <v>107</v>
      </c>
      <c r="P34" s="6">
        <v>43987</v>
      </c>
      <c r="Q34" s="5" t="s">
        <v>31</v>
      </c>
      <c r="R34" s="5" t="s">
        <v>32</v>
      </c>
      <c r="S34" s="5" t="s">
        <v>33</v>
      </c>
      <c r="T34" s="5"/>
      <c r="U34" s="5">
        <v>763</v>
      </c>
      <c r="V34" s="5">
        <v>329.01</v>
      </c>
      <c r="W34" s="5">
        <v>303.83</v>
      </c>
      <c r="X34" s="5">
        <v>0</v>
      </c>
      <c r="Y34" s="5">
        <v>130.16</v>
      </c>
    </row>
    <row r="35" spans="1:25" ht="24.75" x14ac:dyDescent="0.25">
      <c r="A35" s="5" t="s">
        <v>26</v>
      </c>
      <c r="B35" s="5" t="s">
        <v>38</v>
      </c>
      <c r="C35" s="5" t="s">
        <v>49</v>
      </c>
      <c r="D35" s="5" t="s">
        <v>58</v>
      </c>
      <c r="E35" s="5" t="s">
        <v>39</v>
      </c>
      <c r="F35" s="5" t="s">
        <v>80</v>
      </c>
      <c r="G35" s="5">
        <v>2019</v>
      </c>
      <c r="H35" s="5" t="str">
        <f>CONCATENATE("94240951742")</f>
        <v>94240951742</v>
      </c>
      <c r="I35" s="5" t="s">
        <v>29</v>
      </c>
      <c r="J35" s="5" t="s">
        <v>30</v>
      </c>
      <c r="K35" s="5" t="str">
        <f>CONCATENATE("")</f>
        <v/>
      </c>
      <c r="L35" s="5" t="str">
        <f>CONCATENATE("10 10.1 4b")</f>
        <v>10 10.1 4b</v>
      </c>
      <c r="M35" s="5" t="str">
        <f>CONCATENATE("02607080419")</f>
        <v>02607080419</v>
      </c>
      <c r="N35" s="5" t="s">
        <v>109</v>
      </c>
      <c r="O35" s="5" t="s">
        <v>77</v>
      </c>
      <c r="P35" s="6">
        <v>43987</v>
      </c>
      <c r="Q35" s="5" t="s">
        <v>31</v>
      </c>
      <c r="R35" s="5" t="s">
        <v>32</v>
      </c>
      <c r="S35" s="5" t="s">
        <v>33</v>
      </c>
      <c r="T35" s="5"/>
      <c r="U35" s="7">
        <v>1361.37</v>
      </c>
      <c r="V35" s="5">
        <v>587.02</v>
      </c>
      <c r="W35" s="5">
        <v>542.1</v>
      </c>
      <c r="X35" s="5">
        <v>0</v>
      </c>
      <c r="Y35" s="5">
        <v>232.25</v>
      </c>
    </row>
    <row r="36" spans="1:25" ht="24.75" x14ac:dyDescent="0.25">
      <c r="A36" s="5" t="s">
        <v>26</v>
      </c>
      <c r="B36" s="5" t="s">
        <v>38</v>
      </c>
      <c r="C36" s="5" t="s">
        <v>49</v>
      </c>
      <c r="D36" s="5" t="s">
        <v>58</v>
      </c>
      <c r="E36" s="5" t="s">
        <v>34</v>
      </c>
      <c r="F36" s="5" t="s">
        <v>83</v>
      </c>
      <c r="G36" s="5">
        <v>2018</v>
      </c>
      <c r="H36" s="5" t="str">
        <f>CONCATENATE("84240821144")</f>
        <v>84240821144</v>
      </c>
      <c r="I36" s="5" t="s">
        <v>29</v>
      </c>
      <c r="J36" s="5" t="s">
        <v>30</v>
      </c>
      <c r="K36" s="5" t="str">
        <f>CONCATENATE("")</f>
        <v/>
      </c>
      <c r="L36" s="5" t="str">
        <f>CONCATENATE("10 10.1 4b")</f>
        <v>10 10.1 4b</v>
      </c>
      <c r="M36" s="5" t="str">
        <f>CONCATENATE("BLTDEI56T01Z103G")</f>
        <v>BLTDEI56T01Z103G</v>
      </c>
      <c r="N36" s="5" t="s">
        <v>110</v>
      </c>
      <c r="O36" s="5" t="s">
        <v>77</v>
      </c>
      <c r="P36" s="6">
        <v>43987</v>
      </c>
      <c r="Q36" s="5" t="s">
        <v>31</v>
      </c>
      <c r="R36" s="5" t="s">
        <v>32</v>
      </c>
      <c r="S36" s="5" t="s">
        <v>33</v>
      </c>
      <c r="T36" s="5"/>
      <c r="U36" s="7">
        <v>1635.72</v>
      </c>
      <c r="V36" s="5">
        <v>705.32</v>
      </c>
      <c r="W36" s="5">
        <v>651.34</v>
      </c>
      <c r="X36" s="5">
        <v>0</v>
      </c>
      <c r="Y36" s="5">
        <v>279.06</v>
      </c>
    </row>
    <row r="37" spans="1:25" ht="24.75" x14ac:dyDescent="0.25">
      <c r="A37" s="5" t="s">
        <v>26</v>
      </c>
      <c r="B37" s="5" t="s">
        <v>38</v>
      </c>
      <c r="C37" s="5" t="s">
        <v>49</v>
      </c>
      <c r="D37" s="5" t="s">
        <v>58</v>
      </c>
      <c r="E37" s="5" t="s">
        <v>39</v>
      </c>
      <c r="F37" s="5" t="s">
        <v>80</v>
      </c>
      <c r="G37" s="5">
        <v>2019</v>
      </c>
      <c r="H37" s="5" t="str">
        <f>CONCATENATE("94240879075")</f>
        <v>94240879075</v>
      </c>
      <c r="I37" s="5" t="s">
        <v>29</v>
      </c>
      <c r="J37" s="5" t="s">
        <v>30</v>
      </c>
      <c r="K37" s="5" t="str">
        <f>CONCATENATE("")</f>
        <v/>
      </c>
      <c r="L37" s="5" t="str">
        <f>CONCATENATE("10 10.1 4b")</f>
        <v>10 10.1 4b</v>
      </c>
      <c r="M37" s="5" t="str">
        <f>CONCATENATE("LGIMRC66E25G479J")</f>
        <v>LGIMRC66E25G479J</v>
      </c>
      <c r="N37" s="5" t="s">
        <v>111</v>
      </c>
      <c r="O37" s="5" t="s">
        <v>77</v>
      </c>
      <c r="P37" s="6">
        <v>43987</v>
      </c>
      <c r="Q37" s="5" t="s">
        <v>31</v>
      </c>
      <c r="R37" s="5" t="s">
        <v>32</v>
      </c>
      <c r="S37" s="5" t="s">
        <v>33</v>
      </c>
      <c r="T37" s="5"/>
      <c r="U37" s="7">
        <v>4205.8599999999997</v>
      </c>
      <c r="V37" s="7">
        <v>1813.57</v>
      </c>
      <c r="W37" s="7">
        <v>1674.77</v>
      </c>
      <c r="X37" s="5">
        <v>0</v>
      </c>
      <c r="Y37" s="5">
        <v>717.52</v>
      </c>
    </row>
    <row r="38" spans="1:25" ht="24.75" x14ac:dyDescent="0.25">
      <c r="A38" s="5" t="s">
        <v>26</v>
      </c>
      <c r="B38" s="5" t="s">
        <v>38</v>
      </c>
      <c r="C38" s="5" t="s">
        <v>49</v>
      </c>
      <c r="D38" s="5" t="s">
        <v>58</v>
      </c>
      <c r="E38" s="5" t="s">
        <v>39</v>
      </c>
      <c r="F38" s="5" t="s">
        <v>80</v>
      </c>
      <c r="G38" s="5">
        <v>2019</v>
      </c>
      <c r="H38" s="5" t="str">
        <f>CONCATENATE("94240879349")</f>
        <v>94240879349</v>
      </c>
      <c r="I38" s="5" t="s">
        <v>29</v>
      </c>
      <c r="J38" s="5" t="s">
        <v>30</v>
      </c>
      <c r="K38" s="5" t="str">
        <f>CONCATENATE("")</f>
        <v/>
      </c>
      <c r="L38" s="5" t="str">
        <f>CONCATENATE("10 10.1 4b")</f>
        <v>10 10.1 4b</v>
      </c>
      <c r="M38" s="5" t="str">
        <f>CONCATENATE("MRCMTT80H16G479Y")</f>
        <v>MRCMTT80H16G479Y</v>
      </c>
      <c r="N38" s="5" t="s">
        <v>112</v>
      </c>
      <c r="O38" s="5" t="s">
        <v>77</v>
      </c>
      <c r="P38" s="6">
        <v>43987</v>
      </c>
      <c r="Q38" s="5" t="s">
        <v>31</v>
      </c>
      <c r="R38" s="5" t="s">
        <v>32</v>
      </c>
      <c r="S38" s="5" t="s">
        <v>33</v>
      </c>
      <c r="T38" s="5"/>
      <c r="U38" s="7">
        <v>4239.3999999999996</v>
      </c>
      <c r="V38" s="7">
        <v>1828.03</v>
      </c>
      <c r="W38" s="7">
        <v>1688.13</v>
      </c>
      <c r="X38" s="5">
        <v>0</v>
      </c>
      <c r="Y38" s="5">
        <v>723.24</v>
      </c>
    </row>
    <row r="39" spans="1:25" ht="24.75" x14ac:dyDescent="0.25">
      <c r="A39" s="5" t="s">
        <v>26</v>
      </c>
      <c r="B39" s="5" t="s">
        <v>38</v>
      </c>
      <c r="C39" s="5" t="s">
        <v>49</v>
      </c>
      <c r="D39" s="5" t="s">
        <v>58</v>
      </c>
      <c r="E39" s="5" t="s">
        <v>34</v>
      </c>
      <c r="F39" s="5" t="s">
        <v>83</v>
      </c>
      <c r="G39" s="5">
        <v>2019</v>
      </c>
      <c r="H39" s="5" t="str">
        <f>CONCATENATE("94240810930")</f>
        <v>94240810930</v>
      </c>
      <c r="I39" s="5" t="s">
        <v>29</v>
      </c>
      <c r="J39" s="5" t="s">
        <v>30</v>
      </c>
      <c r="K39" s="5" t="str">
        <f>CONCATENATE("")</f>
        <v/>
      </c>
      <c r="L39" s="5" t="str">
        <f>CONCATENATE("10 10.1 4b")</f>
        <v>10 10.1 4b</v>
      </c>
      <c r="M39" s="5" t="str">
        <f>CONCATENATE("BLTDEI56T01Z103G")</f>
        <v>BLTDEI56T01Z103G</v>
      </c>
      <c r="N39" s="5" t="s">
        <v>110</v>
      </c>
      <c r="O39" s="5" t="s">
        <v>77</v>
      </c>
      <c r="P39" s="6">
        <v>43987</v>
      </c>
      <c r="Q39" s="5" t="s">
        <v>31</v>
      </c>
      <c r="R39" s="5" t="s">
        <v>32</v>
      </c>
      <c r="S39" s="5" t="s">
        <v>33</v>
      </c>
      <c r="T39" s="5"/>
      <c r="U39" s="7">
        <v>2716.82</v>
      </c>
      <c r="V39" s="7">
        <v>1171.49</v>
      </c>
      <c r="W39" s="7">
        <v>1081.8399999999999</v>
      </c>
      <c r="X39" s="5">
        <v>0</v>
      </c>
      <c r="Y39" s="5">
        <v>463.49</v>
      </c>
    </row>
    <row r="40" spans="1:25" ht="24.75" x14ac:dyDescent="0.25">
      <c r="A40" s="5" t="s">
        <v>26</v>
      </c>
      <c r="B40" s="5" t="s">
        <v>38</v>
      </c>
      <c r="C40" s="5" t="s">
        <v>49</v>
      </c>
      <c r="D40" s="5" t="s">
        <v>58</v>
      </c>
      <c r="E40" s="5" t="s">
        <v>45</v>
      </c>
      <c r="F40" s="5" t="s">
        <v>113</v>
      </c>
      <c r="G40" s="5">
        <v>2019</v>
      </c>
      <c r="H40" s="5" t="str">
        <f>CONCATENATE("94241060394")</f>
        <v>94241060394</v>
      </c>
      <c r="I40" s="5" t="s">
        <v>29</v>
      </c>
      <c r="J40" s="5" t="s">
        <v>30</v>
      </c>
      <c r="K40" s="5" t="str">
        <f>CONCATENATE("")</f>
        <v/>
      </c>
      <c r="L40" s="5" t="str">
        <f>CONCATENATE("10 10.1 4b")</f>
        <v>10 10.1 4b</v>
      </c>
      <c r="M40" s="5" t="str">
        <f>CONCATENATE("00617000419")</f>
        <v>00617000419</v>
      </c>
      <c r="N40" s="5" t="s">
        <v>114</v>
      </c>
      <c r="O40" s="5" t="s">
        <v>77</v>
      </c>
      <c r="P40" s="6">
        <v>43987</v>
      </c>
      <c r="Q40" s="5" t="s">
        <v>31</v>
      </c>
      <c r="R40" s="5" t="s">
        <v>32</v>
      </c>
      <c r="S40" s="5" t="s">
        <v>33</v>
      </c>
      <c r="T40" s="5"/>
      <c r="U40" s="7">
        <v>2364.12</v>
      </c>
      <c r="V40" s="7">
        <v>1019.41</v>
      </c>
      <c r="W40" s="5">
        <v>941.39</v>
      </c>
      <c r="X40" s="5">
        <v>0</v>
      </c>
      <c r="Y40" s="5">
        <v>403.32</v>
      </c>
    </row>
    <row r="41" spans="1:25" ht="24.75" x14ac:dyDescent="0.25">
      <c r="A41" s="5" t="s">
        <v>26</v>
      </c>
      <c r="B41" s="5" t="s">
        <v>38</v>
      </c>
      <c r="C41" s="5" t="s">
        <v>49</v>
      </c>
      <c r="D41" s="5" t="s">
        <v>50</v>
      </c>
      <c r="E41" s="5" t="s">
        <v>39</v>
      </c>
      <c r="F41" s="5" t="s">
        <v>51</v>
      </c>
      <c r="G41" s="5">
        <v>2018</v>
      </c>
      <c r="H41" s="5" t="str">
        <f>CONCATENATE("84241056211")</f>
        <v>84241056211</v>
      </c>
      <c r="I41" s="5" t="s">
        <v>29</v>
      </c>
      <c r="J41" s="5" t="s">
        <v>30</v>
      </c>
      <c r="K41" s="5" t="str">
        <f>CONCATENATE("")</f>
        <v/>
      </c>
      <c r="L41" s="5" t="str">
        <f>CONCATENATE("10 10.1 4b")</f>
        <v>10 10.1 4b</v>
      </c>
      <c r="M41" s="5" t="str">
        <f>CONCATENATE("LBTGDY78H54Z504D")</f>
        <v>LBTGDY78H54Z504D</v>
      </c>
      <c r="N41" s="5" t="s">
        <v>115</v>
      </c>
      <c r="O41" s="5" t="s">
        <v>77</v>
      </c>
      <c r="P41" s="6">
        <v>43987</v>
      </c>
      <c r="Q41" s="5" t="s">
        <v>31</v>
      </c>
      <c r="R41" s="5" t="s">
        <v>32</v>
      </c>
      <c r="S41" s="5" t="s">
        <v>33</v>
      </c>
      <c r="T41" s="5"/>
      <c r="U41" s="7">
        <v>7402.76</v>
      </c>
      <c r="V41" s="7">
        <v>3192.07</v>
      </c>
      <c r="W41" s="7">
        <v>2947.78</v>
      </c>
      <c r="X41" s="5">
        <v>0</v>
      </c>
      <c r="Y41" s="7">
        <v>1262.9100000000001</v>
      </c>
    </row>
    <row r="42" spans="1:25" ht="24.75" x14ac:dyDescent="0.25">
      <c r="A42" s="5" t="s">
        <v>26</v>
      </c>
      <c r="B42" s="5" t="s">
        <v>38</v>
      </c>
      <c r="C42" s="5" t="s">
        <v>49</v>
      </c>
      <c r="D42" s="5" t="s">
        <v>58</v>
      </c>
      <c r="E42" s="5" t="s">
        <v>39</v>
      </c>
      <c r="F42" s="5" t="s">
        <v>80</v>
      </c>
      <c r="G42" s="5">
        <v>2019</v>
      </c>
      <c r="H42" s="5" t="str">
        <f>CONCATENATE("94240871775")</f>
        <v>94240871775</v>
      </c>
      <c r="I42" s="5" t="s">
        <v>29</v>
      </c>
      <c r="J42" s="5" t="s">
        <v>30</v>
      </c>
      <c r="K42" s="5" t="str">
        <f>CONCATENATE("")</f>
        <v/>
      </c>
      <c r="L42" s="5" t="str">
        <f>CONCATENATE("10 10.1 4b")</f>
        <v>10 10.1 4b</v>
      </c>
      <c r="M42" s="5" t="str">
        <f>CONCATENATE("FLCFRZ75D05G479W")</f>
        <v>FLCFRZ75D05G479W</v>
      </c>
      <c r="N42" s="5" t="s">
        <v>116</v>
      </c>
      <c r="O42" s="5" t="s">
        <v>77</v>
      </c>
      <c r="P42" s="6">
        <v>43987</v>
      </c>
      <c r="Q42" s="5" t="s">
        <v>31</v>
      </c>
      <c r="R42" s="5" t="s">
        <v>32</v>
      </c>
      <c r="S42" s="5" t="s">
        <v>33</v>
      </c>
      <c r="T42" s="5"/>
      <c r="U42" s="7">
        <v>5242.7700000000004</v>
      </c>
      <c r="V42" s="7">
        <v>2260.6799999999998</v>
      </c>
      <c r="W42" s="7">
        <v>2087.67</v>
      </c>
      <c r="X42" s="5">
        <v>0</v>
      </c>
      <c r="Y42" s="5">
        <v>894.42</v>
      </c>
    </row>
    <row r="43" spans="1:25" ht="24.75" x14ac:dyDescent="0.25">
      <c r="A43" s="5" t="s">
        <v>26</v>
      </c>
      <c r="B43" s="5" t="s">
        <v>38</v>
      </c>
      <c r="C43" s="5" t="s">
        <v>49</v>
      </c>
      <c r="D43" s="5" t="s">
        <v>50</v>
      </c>
      <c r="E43" s="5" t="s">
        <v>39</v>
      </c>
      <c r="F43" s="5" t="s">
        <v>51</v>
      </c>
      <c r="G43" s="5">
        <v>2019</v>
      </c>
      <c r="H43" s="5" t="str">
        <f>CONCATENATE("94240613904")</f>
        <v>94240613904</v>
      </c>
      <c r="I43" s="5" t="s">
        <v>29</v>
      </c>
      <c r="J43" s="5" t="s">
        <v>30</v>
      </c>
      <c r="K43" s="5" t="str">
        <f>CONCATENATE("")</f>
        <v/>
      </c>
      <c r="L43" s="5" t="str">
        <f>CONCATENATE("10 10.1 4b")</f>
        <v>10 10.1 4b</v>
      </c>
      <c r="M43" s="5" t="str">
        <f>CONCATENATE("LBTGDY78H54Z504D")</f>
        <v>LBTGDY78H54Z504D</v>
      </c>
      <c r="N43" s="5" t="s">
        <v>115</v>
      </c>
      <c r="O43" s="5" t="s">
        <v>77</v>
      </c>
      <c r="P43" s="6">
        <v>43987</v>
      </c>
      <c r="Q43" s="5" t="s">
        <v>31</v>
      </c>
      <c r="R43" s="5" t="s">
        <v>32</v>
      </c>
      <c r="S43" s="5" t="s">
        <v>33</v>
      </c>
      <c r="T43" s="5"/>
      <c r="U43" s="7">
        <v>7978.53</v>
      </c>
      <c r="V43" s="7">
        <v>3440.34</v>
      </c>
      <c r="W43" s="7">
        <v>3177.05</v>
      </c>
      <c r="X43" s="5">
        <v>0</v>
      </c>
      <c r="Y43" s="7">
        <v>1361.14</v>
      </c>
    </row>
    <row r="44" spans="1:25" ht="24.75" x14ac:dyDescent="0.25">
      <c r="A44" s="5" t="s">
        <v>26</v>
      </c>
      <c r="B44" s="5" t="s">
        <v>38</v>
      </c>
      <c r="C44" s="5" t="s">
        <v>49</v>
      </c>
      <c r="D44" s="5" t="s">
        <v>50</v>
      </c>
      <c r="E44" s="5" t="s">
        <v>43</v>
      </c>
      <c r="F44" s="5" t="s">
        <v>117</v>
      </c>
      <c r="G44" s="5">
        <v>2019</v>
      </c>
      <c r="H44" s="5" t="str">
        <f>CONCATENATE("94240287196")</f>
        <v>94240287196</v>
      </c>
      <c r="I44" s="5" t="s">
        <v>29</v>
      </c>
      <c r="J44" s="5" t="s">
        <v>30</v>
      </c>
      <c r="K44" s="5" t="str">
        <f>CONCATENATE("")</f>
        <v/>
      </c>
      <c r="L44" s="5" t="str">
        <f>CONCATENATE("10 10.1 4b")</f>
        <v>10 10.1 4b</v>
      </c>
      <c r="M44" s="5" t="str">
        <f>CONCATENATE("GMNPIO62B27F415D")</f>
        <v>GMNPIO62B27F415D</v>
      </c>
      <c r="N44" s="5" t="s">
        <v>118</v>
      </c>
      <c r="O44" s="5" t="s">
        <v>77</v>
      </c>
      <c r="P44" s="6">
        <v>43987</v>
      </c>
      <c r="Q44" s="5" t="s">
        <v>31</v>
      </c>
      <c r="R44" s="5" t="s">
        <v>32</v>
      </c>
      <c r="S44" s="5" t="s">
        <v>33</v>
      </c>
      <c r="T44" s="5"/>
      <c r="U44" s="7">
        <v>4566.18</v>
      </c>
      <c r="V44" s="7">
        <v>1968.94</v>
      </c>
      <c r="W44" s="7">
        <v>1818.25</v>
      </c>
      <c r="X44" s="5">
        <v>0</v>
      </c>
      <c r="Y44" s="5">
        <v>778.99</v>
      </c>
    </row>
    <row r="45" spans="1:25" ht="24.75" x14ac:dyDescent="0.25">
      <c r="A45" s="5" t="s">
        <v>26</v>
      </c>
      <c r="B45" s="5" t="s">
        <v>38</v>
      </c>
      <c r="C45" s="5" t="s">
        <v>49</v>
      </c>
      <c r="D45" s="5" t="s">
        <v>50</v>
      </c>
      <c r="E45" s="5" t="s">
        <v>39</v>
      </c>
      <c r="F45" s="5" t="s">
        <v>51</v>
      </c>
      <c r="G45" s="5">
        <v>2018</v>
      </c>
      <c r="H45" s="5" t="str">
        <f>CONCATENATE("84240672257")</f>
        <v>84240672257</v>
      </c>
      <c r="I45" s="5" t="s">
        <v>29</v>
      </c>
      <c r="J45" s="5" t="s">
        <v>30</v>
      </c>
      <c r="K45" s="5" t="str">
        <f>CONCATENATE("")</f>
        <v/>
      </c>
      <c r="L45" s="5" t="str">
        <f>CONCATENATE("10 10.1 4b")</f>
        <v>10 10.1 4b</v>
      </c>
      <c r="M45" s="5" t="str">
        <f>CONCATENATE("CRTNTN54C20L597V")</f>
        <v>CRTNTN54C20L597V</v>
      </c>
      <c r="N45" s="5" t="s">
        <v>119</v>
      </c>
      <c r="O45" s="5" t="s">
        <v>77</v>
      </c>
      <c r="P45" s="6">
        <v>43987</v>
      </c>
      <c r="Q45" s="5" t="s">
        <v>31</v>
      </c>
      <c r="R45" s="5" t="s">
        <v>32</v>
      </c>
      <c r="S45" s="5" t="s">
        <v>33</v>
      </c>
      <c r="T45" s="5"/>
      <c r="U45" s="7">
        <v>7498.9</v>
      </c>
      <c r="V45" s="7">
        <v>3233.53</v>
      </c>
      <c r="W45" s="7">
        <v>2986.06</v>
      </c>
      <c r="X45" s="5">
        <v>0</v>
      </c>
      <c r="Y45" s="7">
        <v>1279.31</v>
      </c>
    </row>
    <row r="46" spans="1:25" ht="24.75" x14ac:dyDescent="0.25">
      <c r="A46" s="5" t="s">
        <v>26</v>
      </c>
      <c r="B46" s="5" t="s">
        <v>38</v>
      </c>
      <c r="C46" s="5" t="s">
        <v>49</v>
      </c>
      <c r="D46" s="5" t="s">
        <v>58</v>
      </c>
      <c r="E46" s="5" t="s">
        <v>45</v>
      </c>
      <c r="F46" s="5" t="s">
        <v>113</v>
      </c>
      <c r="G46" s="5">
        <v>2019</v>
      </c>
      <c r="H46" s="5" t="str">
        <f>CONCATENATE("94241022808")</f>
        <v>94241022808</v>
      </c>
      <c r="I46" s="5" t="s">
        <v>29</v>
      </c>
      <c r="J46" s="5" t="s">
        <v>30</v>
      </c>
      <c r="K46" s="5" t="str">
        <f>CONCATENATE("")</f>
        <v/>
      </c>
      <c r="L46" s="5" t="str">
        <f>CONCATENATE("10 10.1 4b")</f>
        <v>10 10.1 4b</v>
      </c>
      <c r="M46" s="5" t="str">
        <f>CONCATENATE("80002300418")</f>
        <v>80002300418</v>
      </c>
      <c r="N46" s="5" t="s">
        <v>120</v>
      </c>
      <c r="O46" s="5" t="s">
        <v>77</v>
      </c>
      <c r="P46" s="6">
        <v>43987</v>
      </c>
      <c r="Q46" s="5" t="s">
        <v>31</v>
      </c>
      <c r="R46" s="5" t="s">
        <v>32</v>
      </c>
      <c r="S46" s="5" t="s">
        <v>33</v>
      </c>
      <c r="T46" s="5"/>
      <c r="U46" s="7">
        <v>6981.63</v>
      </c>
      <c r="V46" s="7">
        <v>3010.48</v>
      </c>
      <c r="W46" s="7">
        <v>2780.09</v>
      </c>
      <c r="X46" s="5">
        <v>0</v>
      </c>
      <c r="Y46" s="7">
        <v>1191.06</v>
      </c>
    </row>
    <row r="47" spans="1:25" x14ac:dyDescent="0.25">
      <c r="A47" s="5" t="s">
        <v>26</v>
      </c>
      <c r="B47" s="5" t="s">
        <v>38</v>
      </c>
      <c r="C47" s="5" t="s">
        <v>49</v>
      </c>
      <c r="D47" s="5" t="s">
        <v>87</v>
      </c>
      <c r="E47" s="5" t="s">
        <v>45</v>
      </c>
      <c r="F47" s="5" t="s">
        <v>121</v>
      </c>
      <c r="G47" s="5">
        <v>2016</v>
      </c>
      <c r="H47" s="5" t="str">
        <f>CONCATENATE("64780023574")</f>
        <v>64780023574</v>
      </c>
      <c r="I47" s="5" t="s">
        <v>41</v>
      </c>
      <c r="J47" s="5" t="s">
        <v>47</v>
      </c>
      <c r="K47" s="5" t="str">
        <f>CONCATENATE("221")</f>
        <v>221</v>
      </c>
      <c r="L47" s="5" t="str">
        <f>CONCATENATE("8 8.1 5e")</f>
        <v>8 8.1 5e</v>
      </c>
      <c r="M47" s="5" t="str">
        <f>CONCATENATE("PLPNBL33L24L366B")</f>
        <v>PLPNBL33L24L366B</v>
      </c>
      <c r="N47" s="5" t="s">
        <v>122</v>
      </c>
      <c r="O47" s="5" t="s">
        <v>123</v>
      </c>
      <c r="P47" s="6">
        <v>43987</v>
      </c>
      <c r="Q47" s="5" t="s">
        <v>31</v>
      </c>
      <c r="R47" s="5" t="s">
        <v>32</v>
      </c>
      <c r="S47" s="5" t="s">
        <v>33</v>
      </c>
      <c r="T47" s="5"/>
      <c r="U47" s="7">
        <v>2070</v>
      </c>
      <c r="V47" s="5">
        <v>892.58</v>
      </c>
      <c r="W47" s="5">
        <v>824.27</v>
      </c>
      <c r="X47" s="5">
        <v>0</v>
      </c>
      <c r="Y47" s="5">
        <v>353.15</v>
      </c>
    </row>
    <row r="48" spans="1:25" ht="24.75" x14ac:dyDescent="0.25">
      <c r="A48" s="5" t="s">
        <v>26</v>
      </c>
      <c r="B48" s="5" t="s">
        <v>38</v>
      </c>
      <c r="C48" s="5" t="s">
        <v>49</v>
      </c>
      <c r="D48" s="5" t="s">
        <v>54</v>
      </c>
      <c r="E48" s="5" t="s">
        <v>34</v>
      </c>
      <c r="F48" s="5" t="s">
        <v>55</v>
      </c>
      <c r="G48" s="5">
        <v>2016</v>
      </c>
      <c r="H48" s="5" t="str">
        <f>CONCATENATE("64780046435")</f>
        <v>64780046435</v>
      </c>
      <c r="I48" s="5" t="s">
        <v>29</v>
      </c>
      <c r="J48" s="5" t="s">
        <v>47</v>
      </c>
      <c r="K48" s="5" t="str">
        <f>CONCATENATE("221")</f>
        <v>221</v>
      </c>
      <c r="L48" s="5" t="str">
        <f>CONCATENATE("8 8.1 5e")</f>
        <v>8 8.1 5e</v>
      </c>
      <c r="M48" s="5" t="str">
        <f>CONCATENATE("GGGMLE89B03I608D")</f>
        <v>GGGMLE89B03I608D</v>
      </c>
      <c r="N48" s="5" t="s">
        <v>124</v>
      </c>
      <c r="O48" s="5" t="s">
        <v>123</v>
      </c>
      <c r="P48" s="6">
        <v>43987</v>
      </c>
      <c r="Q48" s="5" t="s">
        <v>31</v>
      </c>
      <c r="R48" s="5" t="s">
        <v>32</v>
      </c>
      <c r="S48" s="5" t="s">
        <v>33</v>
      </c>
      <c r="T48" s="5"/>
      <c r="U48" s="5">
        <v>387.6</v>
      </c>
      <c r="V48" s="5">
        <v>167.13</v>
      </c>
      <c r="W48" s="5">
        <v>154.34</v>
      </c>
      <c r="X48" s="5">
        <v>0</v>
      </c>
      <c r="Y48" s="5">
        <v>66.13</v>
      </c>
    </row>
    <row r="49" spans="1:25" x14ac:dyDescent="0.25">
      <c r="A49" s="5" t="s">
        <v>26</v>
      </c>
      <c r="B49" s="5" t="s">
        <v>38</v>
      </c>
      <c r="C49" s="5" t="s">
        <v>49</v>
      </c>
      <c r="D49" s="5" t="s">
        <v>87</v>
      </c>
      <c r="E49" s="5" t="s">
        <v>45</v>
      </c>
      <c r="F49" s="5" t="s">
        <v>125</v>
      </c>
      <c r="G49" s="5">
        <v>2016</v>
      </c>
      <c r="H49" s="5" t="str">
        <f>CONCATENATE("64780087157")</f>
        <v>64780087157</v>
      </c>
      <c r="I49" s="5" t="s">
        <v>29</v>
      </c>
      <c r="J49" s="5" t="s">
        <v>47</v>
      </c>
      <c r="K49" s="5" t="str">
        <f>CONCATENATE("221")</f>
        <v>221</v>
      </c>
      <c r="L49" s="5" t="str">
        <f>CONCATENATE("8 8.1 5e")</f>
        <v>8 8.1 5e</v>
      </c>
      <c r="M49" s="5" t="str">
        <f>CONCATENATE("SVRMSM77L04E690N")</f>
        <v>SVRMSM77L04E690N</v>
      </c>
      <c r="N49" s="5" t="s">
        <v>126</v>
      </c>
      <c r="O49" s="5" t="s">
        <v>123</v>
      </c>
      <c r="P49" s="6">
        <v>43987</v>
      </c>
      <c r="Q49" s="5" t="s">
        <v>31</v>
      </c>
      <c r="R49" s="5" t="s">
        <v>32</v>
      </c>
      <c r="S49" s="5" t="s">
        <v>33</v>
      </c>
      <c r="T49" s="5"/>
      <c r="U49" s="5">
        <v>489.13</v>
      </c>
      <c r="V49" s="5">
        <v>210.91</v>
      </c>
      <c r="W49" s="5">
        <v>194.77</v>
      </c>
      <c r="X49" s="5">
        <v>0</v>
      </c>
      <c r="Y49" s="5">
        <v>83.45</v>
      </c>
    </row>
    <row r="50" spans="1:25" ht="24.75" x14ac:dyDescent="0.25">
      <c r="A50" s="5" t="s">
        <v>26</v>
      </c>
      <c r="B50" s="5" t="s">
        <v>38</v>
      </c>
      <c r="C50" s="5" t="s">
        <v>49</v>
      </c>
      <c r="D50" s="5" t="s">
        <v>54</v>
      </c>
      <c r="E50" s="5" t="s">
        <v>34</v>
      </c>
      <c r="F50" s="5" t="s">
        <v>55</v>
      </c>
      <c r="G50" s="5">
        <v>2016</v>
      </c>
      <c r="H50" s="5" t="str">
        <f>CONCATENATE("64780041691")</f>
        <v>64780041691</v>
      </c>
      <c r="I50" s="5" t="s">
        <v>29</v>
      </c>
      <c r="J50" s="5" t="s">
        <v>47</v>
      </c>
      <c r="K50" s="5" t="str">
        <f>CONCATENATE("221")</f>
        <v>221</v>
      </c>
      <c r="L50" s="5" t="str">
        <f>CONCATENATE("8 8.1 5e")</f>
        <v>8 8.1 5e</v>
      </c>
      <c r="M50" s="5" t="str">
        <f>CONCATENATE("01143960423")</f>
        <v>01143960423</v>
      </c>
      <c r="N50" s="5" t="s">
        <v>127</v>
      </c>
      <c r="O50" s="5" t="s">
        <v>123</v>
      </c>
      <c r="P50" s="6">
        <v>43987</v>
      </c>
      <c r="Q50" s="5" t="s">
        <v>31</v>
      </c>
      <c r="R50" s="5" t="s">
        <v>32</v>
      </c>
      <c r="S50" s="5" t="s">
        <v>33</v>
      </c>
      <c r="T50" s="5"/>
      <c r="U50" s="7">
        <v>1546.64</v>
      </c>
      <c r="V50" s="5">
        <v>666.91</v>
      </c>
      <c r="W50" s="5">
        <v>615.87</v>
      </c>
      <c r="X50" s="5">
        <v>0</v>
      </c>
      <c r="Y50" s="5">
        <v>263.86</v>
      </c>
    </row>
    <row r="51" spans="1:25" ht="24.75" x14ac:dyDescent="0.25">
      <c r="A51" s="5" t="s">
        <v>26</v>
      </c>
      <c r="B51" s="5" t="s">
        <v>38</v>
      </c>
      <c r="C51" s="5" t="s">
        <v>49</v>
      </c>
      <c r="D51" s="5" t="s">
        <v>87</v>
      </c>
      <c r="E51" s="5" t="s">
        <v>35</v>
      </c>
      <c r="F51" s="5" t="s">
        <v>128</v>
      </c>
      <c r="G51" s="5">
        <v>2016</v>
      </c>
      <c r="H51" s="5" t="str">
        <f>CONCATENATE("64780049280")</f>
        <v>64780049280</v>
      </c>
      <c r="I51" s="5" t="s">
        <v>41</v>
      </c>
      <c r="J51" s="5" t="s">
        <v>47</v>
      </c>
      <c r="K51" s="5" t="str">
        <f>CONCATENATE("221")</f>
        <v>221</v>
      </c>
      <c r="L51" s="5" t="str">
        <f>CONCATENATE("8 8.1 5e")</f>
        <v>8 8.1 5e</v>
      </c>
      <c r="M51" s="5" t="str">
        <f>CONCATENATE("00695170431")</f>
        <v>00695170431</v>
      </c>
      <c r="N51" s="5" t="s">
        <v>129</v>
      </c>
      <c r="O51" s="5" t="s">
        <v>123</v>
      </c>
      <c r="P51" s="6">
        <v>43987</v>
      </c>
      <c r="Q51" s="5" t="s">
        <v>31</v>
      </c>
      <c r="R51" s="5" t="s">
        <v>32</v>
      </c>
      <c r="S51" s="5" t="s">
        <v>33</v>
      </c>
      <c r="T51" s="5"/>
      <c r="U51" s="7">
        <v>3185.5</v>
      </c>
      <c r="V51" s="7">
        <v>1373.59</v>
      </c>
      <c r="W51" s="7">
        <v>1268.47</v>
      </c>
      <c r="X51" s="5">
        <v>0</v>
      </c>
      <c r="Y51" s="5">
        <v>543.44000000000005</v>
      </c>
    </row>
    <row r="52" spans="1:25" x14ac:dyDescent="0.25">
      <c r="A52" s="5" t="s">
        <v>26</v>
      </c>
      <c r="B52" s="5" t="s">
        <v>38</v>
      </c>
      <c r="C52" s="5" t="s">
        <v>49</v>
      </c>
      <c r="D52" s="5" t="s">
        <v>87</v>
      </c>
      <c r="E52" s="5" t="s">
        <v>39</v>
      </c>
      <c r="F52" s="5" t="s">
        <v>130</v>
      </c>
      <c r="G52" s="5">
        <v>2016</v>
      </c>
      <c r="H52" s="5" t="str">
        <f>CONCATENATE("64780080780")</f>
        <v>64780080780</v>
      </c>
      <c r="I52" s="5" t="s">
        <v>29</v>
      </c>
      <c r="J52" s="5" t="s">
        <v>47</v>
      </c>
      <c r="K52" s="5" t="str">
        <f>CONCATENATE("221")</f>
        <v>221</v>
      </c>
      <c r="L52" s="5" t="str">
        <f>CONCATENATE("8 8.1 5e")</f>
        <v>8 8.1 5e</v>
      </c>
      <c r="M52" s="5" t="str">
        <f>CONCATENATE("RNZMHL51S15A059V")</f>
        <v>RNZMHL51S15A059V</v>
      </c>
      <c r="N52" s="5" t="s">
        <v>131</v>
      </c>
      <c r="O52" s="5" t="s">
        <v>123</v>
      </c>
      <c r="P52" s="6">
        <v>43987</v>
      </c>
      <c r="Q52" s="5" t="s">
        <v>31</v>
      </c>
      <c r="R52" s="5" t="s">
        <v>32</v>
      </c>
      <c r="S52" s="5" t="s">
        <v>33</v>
      </c>
      <c r="T52" s="5"/>
      <c r="U52" s="7">
        <v>3978.36</v>
      </c>
      <c r="V52" s="7">
        <v>1715.47</v>
      </c>
      <c r="W52" s="7">
        <v>1584.18</v>
      </c>
      <c r="X52" s="5">
        <v>0</v>
      </c>
      <c r="Y52" s="5">
        <v>678.71</v>
      </c>
    </row>
    <row r="53" spans="1:25" ht="24.75" x14ac:dyDescent="0.25">
      <c r="A53" s="5" t="s">
        <v>26</v>
      </c>
      <c r="B53" s="5" t="s">
        <v>38</v>
      </c>
      <c r="C53" s="5" t="s">
        <v>49</v>
      </c>
      <c r="D53" s="5" t="s">
        <v>54</v>
      </c>
      <c r="E53" s="5" t="s">
        <v>39</v>
      </c>
      <c r="F53" s="5" t="s">
        <v>132</v>
      </c>
      <c r="G53" s="5">
        <v>2016</v>
      </c>
      <c r="H53" s="5" t="str">
        <f>CONCATENATE("64780075624")</f>
        <v>64780075624</v>
      </c>
      <c r="I53" s="5" t="s">
        <v>29</v>
      </c>
      <c r="J53" s="5" t="s">
        <v>47</v>
      </c>
      <c r="K53" s="5" t="str">
        <f>CONCATENATE("221")</f>
        <v>221</v>
      </c>
      <c r="L53" s="5" t="str">
        <f>CONCATENATE("8 8.1 5e")</f>
        <v>8 8.1 5e</v>
      </c>
      <c r="M53" s="5" t="str">
        <f>CONCATENATE("02372530424")</f>
        <v>02372530424</v>
      </c>
      <c r="N53" s="5" t="s">
        <v>133</v>
      </c>
      <c r="O53" s="5" t="s">
        <v>123</v>
      </c>
      <c r="P53" s="6">
        <v>43987</v>
      </c>
      <c r="Q53" s="5" t="s">
        <v>31</v>
      </c>
      <c r="R53" s="5" t="s">
        <v>32</v>
      </c>
      <c r="S53" s="5" t="s">
        <v>33</v>
      </c>
      <c r="T53" s="5"/>
      <c r="U53" s="7">
        <v>2382.09</v>
      </c>
      <c r="V53" s="7">
        <v>1027.1600000000001</v>
      </c>
      <c r="W53" s="5">
        <v>948.55</v>
      </c>
      <c r="X53" s="5">
        <v>0</v>
      </c>
      <c r="Y53" s="5">
        <v>406.38</v>
      </c>
    </row>
    <row r="54" spans="1:25" x14ac:dyDescent="0.25">
      <c r="A54" s="5" t="s">
        <v>26</v>
      </c>
      <c r="B54" s="5" t="s">
        <v>38</v>
      </c>
      <c r="C54" s="5" t="s">
        <v>49</v>
      </c>
      <c r="D54" s="5" t="s">
        <v>87</v>
      </c>
      <c r="E54" s="5" t="s">
        <v>35</v>
      </c>
      <c r="F54" s="5" t="s">
        <v>91</v>
      </c>
      <c r="G54" s="5">
        <v>2016</v>
      </c>
      <c r="H54" s="5" t="str">
        <f>CONCATENATE("64780061798")</f>
        <v>64780061798</v>
      </c>
      <c r="I54" s="5" t="s">
        <v>41</v>
      </c>
      <c r="J54" s="5" t="s">
        <v>47</v>
      </c>
      <c r="K54" s="5" t="str">
        <f>CONCATENATE("221")</f>
        <v>221</v>
      </c>
      <c r="L54" s="5" t="str">
        <f>CONCATENATE("8 8.1 5e")</f>
        <v>8 8.1 5e</v>
      </c>
      <c r="M54" s="5" t="str">
        <f>CONCATENATE("FRNCRN59A60E783J")</f>
        <v>FRNCRN59A60E783J</v>
      </c>
      <c r="N54" s="5" t="s">
        <v>134</v>
      </c>
      <c r="O54" s="5" t="s">
        <v>123</v>
      </c>
      <c r="P54" s="6">
        <v>43987</v>
      </c>
      <c r="Q54" s="5" t="s">
        <v>31</v>
      </c>
      <c r="R54" s="5" t="s">
        <v>32</v>
      </c>
      <c r="S54" s="5" t="s">
        <v>33</v>
      </c>
      <c r="T54" s="5"/>
      <c r="U54" s="5">
        <v>597.46</v>
      </c>
      <c r="V54" s="5">
        <v>257.62</v>
      </c>
      <c r="W54" s="5">
        <v>237.91</v>
      </c>
      <c r="X54" s="5">
        <v>0</v>
      </c>
      <c r="Y54" s="5">
        <v>101.93</v>
      </c>
    </row>
    <row r="55" spans="1:25" ht="24.75" x14ac:dyDescent="0.25">
      <c r="A55" s="5" t="s">
        <v>26</v>
      </c>
      <c r="B55" s="5" t="s">
        <v>38</v>
      </c>
      <c r="C55" s="5" t="s">
        <v>49</v>
      </c>
      <c r="D55" s="5" t="s">
        <v>58</v>
      </c>
      <c r="E55" s="5" t="s">
        <v>39</v>
      </c>
      <c r="F55" s="5" t="s">
        <v>80</v>
      </c>
      <c r="G55" s="5">
        <v>2019</v>
      </c>
      <c r="H55" s="5" t="str">
        <f>CONCATENATE("94240949779")</f>
        <v>94240949779</v>
      </c>
      <c r="I55" s="5" t="s">
        <v>29</v>
      </c>
      <c r="J55" s="5" t="s">
        <v>30</v>
      </c>
      <c r="K55" s="5" t="str">
        <f>CONCATENATE("")</f>
        <v/>
      </c>
      <c r="L55" s="5" t="str">
        <f>CONCATENATE("10 10.1 4b")</f>
        <v>10 10.1 4b</v>
      </c>
      <c r="M55" s="5" t="str">
        <f>CONCATENATE("PDNLRT55S19I285U")</f>
        <v>PDNLRT55S19I285U</v>
      </c>
      <c r="N55" s="5" t="s">
        <v>135</v>
      </c>
      <c r="O55" s="5" t="s">
        <v>77</v>
      </c>
      <c r="P55" s="6">
        <v>43987</v>
      </c>
      <c r="Q55" s="5" t="s">
        <v>31</v>
      </c>
      <c r="R55" s="5" t="s">
        <v>32</v>
      </c>
      <c r="S55" s="5" t="s">
        <v>33</v>
      </c>
      <c r="T55" s="5"/>
      <c r="U55" s="7">
        <v>2518.81</v>
      </c>
      <c r="V55" s="7">
        <v>1086.1099999999999</v>
      </c>
      <c r="W55" s="7">
        <v>1002.99</v>
      </c>
      <c r="X55" s="5">
        <v>0</v>
      </c>
      <c r="Y55" s="5">
        <v>429.71</v>
      </c>
    </row>
    <row r="56" spans="1:25" ht="24.75" x14ac:dyDescent="0.25">
      <c r="A56" s="5" t="s">
        <v>26</v>
      </c>
      <c r="B56" s="5" t="s">
        <v>38</v>
      </c>
      <c r="C56" s="5" t="s">
        <v>49</v>
      </c>
      <c r="D56" s="5" t="s">
        <v>58</v>
      </c>
      <c r="E56" s="5" t="s">
        <v>34</v>
      </c>
      <c r="F56" s="5" t="s">
        <v>75</v>
      </c>
      <c r="G56" s="5">
        <v>2019</v>
      </c>
      <c r="H56" s="5" t="str">
        <f>CONCATENATE("94241104093")</f>
        <v>94241104093</v>
      </c>
      <c r="I56" s="5" t="s">
        <v>29</v>
      </c>
      <c r="J56" s="5" t="s">
        <v>30</v>
      </c>
      <c r="K56" s="5" t="str">
        <f>CONCATENATE("")</f>
        <v/>
      </c>
      <c r="L56" s="5" t="str">
        <f>CONCATENATE("10 10.1 4b")</f>
        <v>10 10.1 4b</v>
      </c>
      <c r="M56" s="5" t="str">
        <f>CONCATENATE("LVEDVD84L17G479I")</f>
        <v>LVEDVD84L17G479I</v>
      </c>
      <c r="N56" s="5" t="s">
        <v>136</v>
      </c>
      <c r="O56" s="5" t="s">
        <v>77</v>
      </c>
      <c r="P56" s="6">
        <v>43987</v>
      </c>
      <c r="Q56" s="5" t="s">
        <v>31</v>
      </c>
      <c r="R56" s="5" t="s">
        <v>32</v>
      </c>
      <c r="S56" s="5" t="s">
        <v>33</v>
      </c>
      <c r="T56" s="5"/>
      <c r="U56" s="7">
        <v>3208.2</v>
      </c>
      <c r="V56" s="7">
        <v>1383.38</v>
      </c>
      <c r="W56" s="7">
        <v>1277.51</v>
      </c>
      <c r="X56" s="5">
        <v>0</v>
      </c>
      <c r="Y56" s="5">
        <v>547.30999999999995</v>
      </c>
    </row>
    <row r="57" spans="1:25" x14ac:dyDescent="0.25">
      <c r="A57" s="5" t="s">
        <v>26</v>
      </c>
      <c r="B57" s="5" t="s">
        <v>38</v>
      </c>
      <c r="C57" s="5" t="s">
        <v>49</v>
      </c>
      <c r="D57" s="5" t="s">
        <v>87</v>
      </c>
      <c r="E57" s="5" t="s">
        <v>35</v>
      </c>
      <c r="F57" s="5" t="s">
        <v>128</v>
      </c>
      <c r="G57" s="5">
        <v>2019</v>
      </c>
      <c r="H57" s="5" t="str">
        <f>CONCATENATE("94240668965")</f>
        <v>94240668965</v>
      </c>
      <c r="I57" s="5" t="s">
        <v>29</v>
      </c>
      <c r="J57" s="5" t="s">
        <v>30</v>
      </c>
      <c r="K57" s="5" t="str">
        <f>CONCATENATE("")</f>
        <v/>
      </c>
      <c r="L57" s="5" t="str">
        <f>CONCATENATE("10 10.1 4a")</f>
        <v>10 10.1 4a</v>
      </c>
      <c r="M57" s="5" t="str">
        <f>CONCATENATE("PRSPPN53T07G058L")</f>
        <v>PRSPPN53T07G058L</v>
      </c>
      <c r="N57" s="5" t="s">
        <v>137</v>
      </c>
      <c r="O57" s="5" t="s">
        <v>90</v>
      </c>
      <c r="P57" s="6">
        <v>43987</v>
      </c>
      <c r="Q57" s="5" t="s">
        <v>31</v>
      </c>
      <c r="R57" s="5" t="s">
        <v>32</v>
      </c>
      <c r="S57" s="5" t="s">
        <v>33</v>
      </c>
      <c r="T57" s="5"/>
      <c r="U57" s="7">
        <v>5045.7</v>
      </c>
      <c r="V57" s="7">
        <v>2175.71</v>
      </c>
      <c r="W57" s="7">
        <v>2009.2</v>
      </c>
      <c r="X57" s="5">
        <v>0</v>
      </c>
      <c r="Y57" s="5">
        <v>860.79</v>
      </c>
    </row>
    <row r="58" spans="1:25" x14ac:dyDescent="0.25">
      <c r="A58" s="5" t="s">
        <v>26</v>
      </c>
      <c r="B58" s="5" t="s">
        <v>38</v>
      </c>
      <c r="C58" s="5" t="s">
        <v>49</v>
      </c>
      <c r="D58" s="5" t="s">
        <v>87</v>
      </c>
      <c r="E58" s="5" t="s">
        <v>39</v>
      </c>
      <c r="F58" s="5" t="s">
        <v>88</v>
      </c>
      <c r="G58" s="5">
        <v>2019</v>
      </c>
      <c r="H58" s="5" t="str">
        <f>CONCATENATE("94240382120")</f>
        <v>94240382120</v>
      </c>
      <c r="I58" s="5" t="s">
        <v>29</v>
      </c>
      <c r="J58" s="5" t="s">
        <v>30</v>
      </c>
      <c r="K58" s="5" t="str">
        <f>CONCATENATE("")</f>
        <v/>
      </c>
      <c r="L58" s="5" t="str">
        <f>CONCATENATE("10 10.1 4a")</f>
        <v>10 10.1 4a</v>
      </c>
      <c r="M58" s="5" t="str">
        <f>CONCATENATE("QTTCTA57C45H501N")</f>
        <v>QTTCTA57C45H501N</v>
      </c>
      <c r="N58" s="5" t="s">
        <v>138</v>
      </c>
      <c r="O58" s="5" t="s">
        <v>90</v>
      </c>
      <c r="P58" s="6">
        <v>43987</v>
      </c>
      <c r="Q58" s="5" t="s">
        <v>31</v>
      </c>
      <c r="R58" s="5" t="s">
        <v>32</v>
      </c>
      <c r="S58" s="5" t="s">
        <v>33</v>
      </c>
      <c r="T58" s="5"/>
      <c r="U58" s="5">
        <v>411.45</v>
      </c>
      <c r="V58" s="5">
        <v>177.42</v>
      </c>
      <c r="W58" s="5">
        <v>163.84</v>
      </c>
      <c r="X58" s="5">
        <v>0</v>
      </c>
      <c r="Y58" s="5">
        <v>70.19</v>
      </c>
    </row>
    <row r="59" spans="1:25" ht="24.75" x14ac:dyDescent="0.25">
      <c r="A59" s="5" t="s">
        <v>26</v>
      </c>
      <c r="B59" s="5" t="s">
        <v>38</v>
      </c>
      <c r="C59" s="5" t="s">
        <v>49</v>
      </c>
      <c r="D59" s="5" t="s">
        <v>58</v>
      </c>
      <c r="E59" s="5" t="s">
        <v>34</v>
      </c>
      <c r="F59" s="5" t="s">
        <v>139</v>
      </c>
      <c r="G59" s="5">
        <v>2019</v>
      </c>
      <c r="H59" s="5" t="str">
        <f>CONCATENATE("94780058460")</f>
        <v>94780058460</v>
      </c>
      <c r="I59" s="5" t="s">
        <v>29</v>
      </c>
      <c r="J59" s="5" t="s">
        <v>47</v>
      </c>
      <c r="K59" s="5" t="str">
        <f>CONCATENATE("221")</f>
        <v>221</v>
      </c>
      <c r="L59" s="5" t="str">
        <f>CONCATENATE("8 8.1 5e")</f>
        <v>8 8.1 5e</v>
      </c>
      <c r="M59" s="5" t="str">
        <f>CONCATENATE("BNDNNA40E41D541R")</f>
        <v>BNDNNA40E41D541R</v>
      </c>
      <c r="N59" s="5" t="s">
        <v>140</v>
      </c>
      <c r="O59" s="5" t="s">
        <v>99</v>
      </c>
      <c r="P59" s="6">
        <v>43987</v>
      </c>
      <c r="Q59" s="5" t="s">
        <v>31</v>
      </c>
      <c r="R59" s="5" t="s">
        <v>32</v>
      </c>
      <c r="S59" s="5" t="s">
        <v>33</v>
      </c>
      <c r="T59" s="5"/>
      <c r="U59" s="5">
        <v>141.58000000000001</v>
      </c>
      <c r="V59" s="5">
        <v>61.05</v>
      </c>
      <c r="W59" s="5">
        <v>56.38</v>
      </c>
      <c r="X59" s="5">
        <v>0</v>
      </c>
      <c r="Y59" s="5">
        <v>24.15</v>
      </c>
    </row>
    <row r="60" spans="1:25" x14ac:dyDescent="0.25">
      <c r="A60" s="5" t="s">
        <v>26</v>
      </c>
      <c r="B60" s="5" t="s">
        <v>38</v>
      </c>
      <c r="C60" s="5" t="s">
        <v>49</v>
      </c>
      <c r="D60" s="5" t="s">
        <v>87</v>
      </c>
      <c r="E60" s="5" t="s">
        <v>35</v>
      </c>
      <c r="F60" s="5" t="s">
        <v>128</v>
      </c>
      <c r="G60" s="5">
        <v>2019</v>
      </c>
      <c r="H60" s="5" t="str">
        <f>CONCATENATE("94240998693")</f>
        <v>94240998693</v>
      </c>
      <c r="I60" s="5" t="s">
        <v>29</v>
      </c>
      <c r="J60" s="5" t="s">
        <v>30</v>
      </c>
      <c r="K60" s="5" t="str">
        <f>CONCATENATE("")</f>
        <v/>
      </c>
      <c r="L60" s="5" t="str">
        <f>CONCATENATE("10 10.1 4a")</f>
        <v>10 10.1 4a</v>
      </c>
      <c r="M60" s="5" t="str">
        <f>CONCATENATE("TRNFMS58A31M078A")</f>
        <v>TRNFMS58A31M078A</v>
      </c>
      <c r="N60" s="5" t="s">
        <v>141</v>
      </c>
      <c r="O60" s="5" t="s">
        <v>90</v>
      </c>
      <c r="P60" s="6">
        <v>43987</v>
      </c>
      <c r="Q60" s="5" t="s">
        <v>31</v>
      </c>
      <c r="R60" s="5" t="s">
        <v>32</v>
      </c>
      <c r="S60" s="5" t="s">
        <v>33</v>
      </c>
      <c r="T60" s="5"/>
      <c r="U60" s="7">
        <v>10406.620000000001</v>
      </c>
      <c r="V60" s="7">
        <v>4487.33</v>
      </c>
      <c r="W60" s="7">
        <v>4143.92</v>
      </c>
      <c r="X60" s="5">
        <v>0</v>
      </c>
      <c r="Y60" s="7">
        <v>1775.37</v>
      </c>
    </row>
    <row r="61" spans="1:25" x14ac:dyDescent="0.25">
      <c r="A61" s="5" t="s">
        <v>26</v>
      </c>
      <c r="B61" s="5" t="s">
        <v>38</v>
      </c>
      <c r="C61" s="5" t="s">
        <v>49</v>
      </c>
      <c r="D61" s="5" t="s">
        <v>87</v>
      </c>
      <c r="E61" s="5" t="s">
        <v>39</v>
      </c>
      <c r="F61" s="5" t="s">
        <v>88</v>
      </c>
      <c r="G61" s="5">
        <v>2019</v>
      </c>
      <c r="H61" s="5" t="str">
        <f>CONCATENATE("94240633621")</f>
        <v>94240633621</v>
      </c>
      <c r="I61" s="5" t="s">
        <v>29</v>
      </c>
      <c r="J61" s="5" t="s">
        <v>30</v>
      </c>
      <c r="K61" s="5" t="str">
        <f>CONCATENATE("")</f>
        <v/>
      </c>
      <c r="L61" s="5" t="str">
        <f>CONCATENATE("10 10.1 4a")</f>
        <v>10 10.1 4a</v>
      </c>
      <c r="M61" s="5" t="str">
        <f>CONCATENATE("SSNGPP64L12M078M")</f>
        <v>SSNGPP64L12M078M</v>
      </c>
      <c r="N61" s="5" t="s">
        <v>142</v>
      </c>
      <c r="O61" s="5" t="s">
        <v>90</v>
      </c>
      <c r="P61" s="6">
        <v>43987</v>
      </c>
      <c r="Q61" s="5" t="s">
        <v>31</v>
      </c>
      <c r="R61" s="5" t="s">
        <v>32</v>
      </c>
      <c r="S61" s="5" t="s">
        <v>33</v>
      </c>
      <c r="T61" s="5"/>
      <c r="U61" s="5">
        <v>199.73</v>
      </c>
      <c r="V61" s="5">
        <v>86.12</v>
      </c>
      <c r="W61" s="5">
        <v>79.53</v>
      </c>
      <c r="X61" s="5">
        <v>0</v>
      </c>
      <c r="Y61" s="5">
        <v>34.08</v>
      </c>
    </row>
    <row r="62" spans="1:25" x14ac:dyDescent="0.25">
      <c r="A62" s="5" t="s">
        <v>26</v>
      </c>
      <c r="B62" s="5" t="s">
        <v>38</v>
      </c>
      <c r="C62" s="5" t="s">
        <v>49</v>
      </c>
      <c r="D62" s="5" t="s">
        <v>87</v>
      </c>
      <c r="E62" s="5" t="s">
        <v>39</v>
      </c>
      <c r="F62" s="5" t="s">
        <v>143</v>
      </c>
      <c r="G62" s="5">
        <v>2019</v>
      </c>
      <c r="H62" s="5" t="str">
        <f>CONCATENATE("94240823404")</f>
        <v>94240823404</v>
      </c>
      <c r="I62" s="5" t="s">
        <v>29</v>
      </c>
      <c r="J62" s="5" t="s">
        <v>30</v>
      </c>
      <c r="K62" s="5" t="str">
        <f>CONCATENATE("")</f>
        <v/>
      </c>
      <c r="L62" s="5" t="str">
        <f>CONCATENATE("10 10.1 4a")</f>
        <v>10 10.1 4a</v>
      </c>
      <c r="M62" s="5" t="str">
        <f>CONCATENATE("01914550437")</f>
        <v>01914550437</v>
      </c>
      <c r="N62" s="5" t="s">
        <v>144</v>
      </c>
      <c r="O62" s="5" t="s">
        <v>90</v>
      </c>
      <c r="P62" s="6">
        <v>43987</v>
      </c>
      <c r="Q62" s="5" t="s">
        <v>31</v>
      </c>
      <c r="R62" s="5" t="s">
        <v>32</v>
      </c>
      <c r="S62" s="5" t="s">
        <v>33</v>
      </c>
      <c r="T62" s="5"/>
      <c r="U62" s="7">
        <v>11744</v>
      </c>
      <c r="V62" s="7">
        <v>5064.01</v>
      </c>
      <c r="W62" s="7">
        <v>4676.46</v>
      </c>
      <c r="X62" s="5">
        <v>0</v>
      </c>
      <c r="Y62" s="7">
        <v>2003.53</v>
      </c>
    </row>
    <row r="63" spans="1:25" x14ac:dyDescent="0.25">
      <c r="A63" s="5" t="s">
        <v>26</v>
      </c>
      <c r="B63" s="5" t="s">
        <v>38</v>
      </c>
      <c r="C63" s="5" t="s">
        <v>49</v>
      </c>
      <c r="D63" s="5" t="s">
        <v>87</v>
      </c>
      <c r="E63" s="5" t="s">
        <v>35</v>
      </c>
      <c r="F63" s="5" t="s">
        <v>94</v>
      </c>
      <c r="G63" s="5">
        <v>2019</v>
      </c>
      <c r="H63" s="5" t="str">
        <f>CONCATENATE("94240395585")</f>
        <v>94240395585</v>
      </c>
      <c r="I63" s="5" t="s">
        <v>29</v>
      </c>
      <c r="J63" s="5" t="s">
        <v>30</v>
      </c>
      <c r="K63" s="5" t="str">
        <f>CONCATENATE("")</f>
        <v/>
      </c>
      <c r="L63" s="5" t="str">
        <f>CONCATENATE("10 10.1 4a")</f>
        <v>10 10.1 4a</v>
      </c>
      <c r="M63" s="5" t="str">
        <f>CONCATENATE("01976420438")</f>
        <v>01976420438</v>
      </c>
      <c r="N63" s="5" t="s">
        <v>145</v>
      </c>
      <c r="O63" s="5" t="s">
        <v>90</v>
      </c>
      <c r="P63" s="6">
        <v>43987</v>
      </c>
      <c r="Q63" s="5" t="s">
        <v>31</v>
      </c>
      <c r="R63" s="5" t="s">
        <v>32</v>
      </c>
      <c r="S63" s="5" t="s">
        <v>33</v>
      </c>
      <c r="T63" s="5"/>
      <c r="U63" s="7">
        <v>13302.44</v>
      </c>
      <c r="V63" s="7">
        <v>5736.01</v>
      </c>
      <c r="W63" s="7">
        <v>5297.03</v>
      </c>
      <c r="X63" s="5">
        <v>0</v>
      </c>
      <c r="Y63" s="7">
        <v>2269.4</v>
      </c>
    </row>
    <row r="64" spans="1:25" ht="24.75" x14ac:dyDescent="0.25">
      <c r="A64" s="5" t="s">
        <v>26</v>
      </c>
      <c r="B64" s="5" t="s">
        <v>38</v>
      </c>
      <c r="C64" s="5" t="s">
        <v>49</v>
      </c>
      <c r="D64" s="5" t="s">
        <v>87</v>
      </c>
      <c r="E64" s="5" t="s">
        <v>39</v>
      </c>
      <c r="F64" s="5" t="s">
        <v>88</v>
      </c>
      <c r="G64" s="5">
        <v>2019</v>
      </c>
      <c r="H64" s="5" t="str">
        <f>CONCATENATE("94240632078")</f>
        <v>94240632078</v>
      </c>
      <c r="I64" s="5" t="s">
        <v>29</v>
      </c>
      <c r="J64" s="5" t="s">
        <v>30</v>
      </c>
      <c r="K64" s="5" t="str">
        <f>CONCATENATE("")</f>
        <v/>
      </c>
      <c r="L64" s="5" t="str">
        <f>CONCATENATE("10 10.1 4a")</f>
        <v>10 10.1 4a</v>
      </c>
      <c r="M64" s="5" t="str">
        <f>CONCATENATE("00395910433")</f>
        <v>00395910433</v>
      </c>
      <c r="N64" s="5" t="s">
        <v>146</v>
      </c>
      <c r="O64" s="5" t="s">
        <v>90</v>
      </c>
      <c r="P64" s="6">
        <v>43987</v>
      </c>
      <c r="Q64" s="5" t="s">
        <v>31</v>
      </c>
      <c r="R64" s="5" t="s">
        <v>32</v>
      </c>
      <c r="S64" s="5" t="s">
        <v>33</v>
      </c>
      <c r="T64" s="5"/>
      <c r="U64" s="7">
        <v>18995.22</v>
      </c>
      <c r="V64" s="7">
        <v>8190.74</v>
      </c>
      <c r="W64" s="7">
        <v>7563.9</v>
      </c>
      <c r="X64" s="5">
        <v>0</v>
      </c>
      <c r="Y64" s="7">
        <v>3240.58</v>
      </c>
    </row>
    <row r="65" spans="1:25" ht="24.75" x14ac:dyDescent="0.25">
      <c r="A65" s="5" t="s">
        <v>26</v>
      </c>
      <c r="B65" s="5" t="s">
        <v>38</v>
      </c>
      <c r="C65" s="5" t="s">
        <v>49</v>
      </c>
      <c r="D65" s="5" t="s">
        <v>87</v>
      </c>
      <c r="E65" s="5" t="s">
        <v>39</v>
      </c>
      <c r="F65" s="5" t="s">
        <v>88</v>
      </c>
      <c r="G65" s="5">
        <v>2019</v>
      </c>
      <c r="H65" s="5" t="str">
        <f>CONCATENATE("94240194236")</f>
        <v>94240194236</v>
      </c>
      <c r="I65" s="5" t="s">
        <v>29</v>
      </c>
      <c r="J65" s="5" t="s">
        <v>30</v>
      </c>
      <c r="K65" s="5" t="str">
        <f>CONCATENATE("")</f>
        <v/>
      </c>
      <c r="L65" s="5" t="str">
        <f>CONCATENATE("10 10.1 4a")</f>
        <v>10 10.1 4a</v>
      </c>
      <c r="M65" s="5" t="str">
        <f>CONCATENATE("01990730432")</f>
        <v>01990730432</v>
      </c>
      <c r="N65" s="5" t="s">
        <v>147</v>
      </c>
      <c r="O65" s="5" t="s">
        <v>90</v>
      </c>
      <c r="P65" s="6">
        <v>43987</v>
      </c>
      <c r="Q65" s="5" t="s">
        <v>31</v>
      </c>
      <c r="R65" s="5" t="s">
        <v>32</v>
      </c>
      <c r="S65" s="5" t="s">
        <v>33</v>
      </c>
      <c r="T65" s="5"/>
      <c r="U65" s="7">
        <v>4138.18</v>
      </c>
      <c r="V65" s="7">
        <v>1784.38</v>
      </c>
      <c r="W65" s="7">
        <v>1647.82</v>
      </c>
      <c r="X65" s="5">
        <v>0</v>
      </c>
      <c r="Y65" s="5">
        <v>705.98</v>
      </c>
    </row>
    <row r="66" spans="1:25" ht="24.75" x14ac:dyDescent="0.25">
      <c r="A66" s="5" t="s">
        <v>26</v>
      </c>
      <c r="B66" s="5" t="s">
        <v>38</v>
      </c>
      <c r="C66" s="5" t="s">
        <v>49</v>
      </c>
      <c r="D66" s="5" t="s">
        <v>58</v>
      </c>
      <c r="E66" s="5" t="s">
        <v>39</v>
      </c>
      <c r="F66" s="5" t="s">
        <v>97</v>
      </c>
      <c r="G66" s="5">
        <v>2019</v>
      </c>
      <c r="H66" s="5" t="str">
        <f>CONCATENATE("94241095507")</f>
        <v>94241095507</v>
      </c>
      <c r="I66" s="5" t="s">
        <v>29</v>
      </c>
      <c r="J66" s="5" t="s">
        <v>30</v>
      </c>
      <c r="K66" s="5" t="str">
        <f>CONCATENATE("")</f>
        <v/>
      </c>
      <c r="L66" s="5" t="str">
        <f>CONCATENATE("10 10.1 4a")</f>
        <v>10 10.1 4a</v>
      </c>
      <c r="M66" s="5" t="str">
        <f>CONCATENATE("TRVGPP74L22E256W")</f>
        <v>TRVGPP74L22E256W</v>
      </c>
      <c r="N66" s="5" t="s">
        <v>148</v>
      </c>
      <c r="O66" s="5" t="s">
        <v>90</v>
      </c>
      <c r="P66" s="6">
        <v>43987</v>
      </c>
      <c r="Q66" s="5" t="s">
        <v>31</v>
      </c>
      <c r="R66" s="5" t="s">
        <v>32</v>
      </c>
      <c r="S66" s="5" t="s">
        <v>33</v>
      </c>
      <c r="T66" s="5"/>
      <c r="U66" s="7">
        <v>2931.28</v>
      </c>
      <c r="V66" s="7">
        <v>1263.97</v>
      </c>
      <c r="W66" s="7">
        <v>1167.24</v>
      </c>
      <c r="X66" s="5">
        <v>0</v>
      </c>
      <c r="Y66" s="5">
        <v>500.07</v>
      </c>
    </row>
    <row r="67" spans="1:25" ht="24.75" x14ac:dyDescent="0.25">
      <c r="A67" s="5" t="s">
        <v>26</v>
      </c>
      <c r="B67" s="5" t="s">
        <v>38</v>
      </c>
      <c r="C67" s="5" t="s">
        <v>49</v>
      </c>
      <c r="D67" s="5" t="s">
        <v>50</v>
      </c>
      <c r="E67" s="5" t="s">
        <v>45</v>
      </c>
      <c r="F67" s="5" t="s">
        <v>62</v>
      </c>
      <c r="G67" s="5">
        <v>2018</v>
      </c>
      <c r="H67" s="5" t="str">
        <f>CONCATENATE("84240956247")</f>
        <v>84240956247</v>
      </c>
      <c r="I67" s="5" t="s">
        <v>29</v>
      </c>
      <c r="J67" s="5" t="s">
        <v>30</v>
      </c>
      <c r="K67" s="5" t="str">
        <f>CONCATENATE("")</f>
        <v/>
      </c>
      <c r="L67" s="5" t="str">
        <f>CONCATENATE("14 14.1 3a")</f>
        <v>14 14.1 3a</v>
      </c>
      <c r="M67" s="5" t="str">
        <f>CONCATENATE("SMNRRT81E41F520M")</f>
        <v>SMNRRT81E41F520M</v>
      </c>
      <c r="N67" s="5" t="s">
        <v>63</v>
      </c>
      <c r="O67" s="5" t="s">
        <v>149</v>
      </c>
      <c r="P67" s="6">
        <v>43987</v>
      </c>
      <c r="Q67" s="5" t="s">
        <v>31</v>
      </c>
      <c r="R67" s="5" t="s">
        <v>32</v>
      </c>
      <c r="S67" s="5" t="s">
        <v>33</v>
      </c>
      <c r="T67" s="5"/>
      <c r="U67" s="5">
        <v>634.48</v>
      </c>
      <c r="V67" s="5">
        <v>273.58999999999997</v>
      </c>
      <c r="W67" s="5">
        <v>252.65</v>
      </c>
      <c r="X67" s="5">
        <v>0</v>
      </c>
      <c r="Y67" s="5">
        <v>108.24</v>
      </c>
    </row>
    <row r="68" spans="1:25" ht="24.75" x14ac:dyDescent="0.25">
      <c r="A68" s="5" t="s">
        <v>26</v>
      </c>
      <c r="B68" s="5" t="s">
        <v>38</v>
      </c>
      <c r="C68" s="5" t="s">
        <v>49</v>
      </c>
      <c r="D68" s="5" t="s">
        <v>50</v>
      </c>
      <c r="E68" s="5" t="s">
        <v>39</v>
      </c>
      <c r="F68" s="5" t="s">
        <v>51</v>
      </c>
      <c r="G68" s="5">
        <v>2018</v>
      </c>
      <c r="H68" s="5" t="str">
        <f>CONCATENATE("84240823009")</f>
        <v>84240823009</v>
      </c>
      <c r="I68" s="5" t="s">
        <v>29</v>
      </c>
      <c r="J68" s="5" t="s">
        <v>30</v>
      </c>
      <c r="K68" s="5" t="str">
        <f>CONCATENATE("")</f>
        <v/>
      </c>
      <c r="L68" s="5" t="str">
        <f>CONCATENATE("14 14.1 3a")</f>
        <v>14 14.1 3a</v>
      </c>
      <c r="M68" s="5" t="str">
        <f>CONCATENATE("MCHRLL62A43C877N")</f>
        <v>MCHRLL62A43C877N</v>
      </c>
      <c r="N68" s="5" t="s">
        <v>52</v>
      </c>
      <c r="O68" s="5" t="s">
        <v>149</v>
      </c>
      <c r="P68" s="6">
        <v>43987</v>
      </c>
      <c r="Q68" s="5" t="s">
        <v>31</v>
      </c>
      <c r="R68" s="5" t="s">
        <v>32</v>
      </c>
      <c r="S68" s="5" t="s">
        <v>33</v>
      </c>
      <c r="T68" s="5"/>
      <c r="U68" s="7">
        <v>3806</v>
      </c>
      <c r="V68" s="7">
        <v>1641.15</v>
      </c>
      <c r="W68" s="7">
        <v>1515.55</v>
      </c>
      <c r="X68" s="5">
        <v>0</v>
      </c>
      <c r="Y68" s="5">
        <v>649.29999999999995</v>
      </c>
    </row>
    <row r="69" spans="1:25" x14ac:dyDescent="0.25">
      <c r="A69" s="5" t="s">
        <v>26</v>
      </c>
      <c r="B69" s="5" t="s">
        <v>38</v>
      </c>
      <c r="C69" s="5" t="s">
        <v>49</v>
      </c>
      <c r="D69" s="5" t="s">
        <v>87</v>
      </c>
      <c r="E69" s="5" t="s">
        <v>39</v>
      </c>
      <c r="F69" s="5" t="s">
        <v>88</v>
      </c>
      <c r="G69" s="5">
        <v>2019</v>
      </c>
      <c r="H69" s="5" t="str">
        <f>CONCATENATE("94240111834")</f>
        <v>94240111834</v>
      </c>
      <c r="I69" s="5" t="s">
        <v>29</v>
      </c>
      <c r="J69" s="5" t="s">
        <v>30</v>
      </c>
      <c r="K69" s="5" t="str">
        <f>CONCATENATE("")</f>
        <v/>
      </c>
      <c r="L69" s="5" t="str">
        <f>CONCATENATE("14 14.1 3a")</f>
        <v>14 14.1 3a</v>
      </c>
      <c r="M69" s="5" t="str">
        <f>CONCATENATE("CRSSRA89H64B474Q")</f>
        <v>CRSSRA89H64B474Q</v>
      </c>
      <c r="N69" s="5" t="s">
        <v>150</v>
      </c>
      <c r="O69" s="5" t="s">
        <v>149</v>
      </c>
      <c r="P69" s="6">
        <v>43987</v>
      </c>
      <c r="Q69" s="5" t="s">
        <v>31</v>
      </c>
      <c r="R69" s="5" t="s">
        <v>32</v>
      </c>
      <c r="S69" s="5" t="s">
        <v>33</v>
      </c>
      <c r="T69" s="5"/>
      <c r="U69" s="7">
        <v>2214.39</v>
      </c>
      <c r="V69" s="5">
        <v>954.84</v>
      </c>
      <c r="W69" s="5">
        <v>881.77</v>
      </c>
      <c r="X69" s="5">
        <v>0</v>
      </c>
      <c r="Y69" s="5">
        <v>377.78</v>
      </c>
    </row>
    <row r="70" spans="1:25" ht="24.75" x14ac:dyDescent="0.25">
      <c r="A70" s="5" t="s">
        <v>26</v>
      </c>
      <c r="B70" s="5" t="s">
        <v>38</v>
      </c>
      <c r="C70" s="5" t="s">
        <v>49</v>
      </c>
      <c r="D70" s="5" t="s">
        <v>50</v>
      </c>
      <c r="E70" s="5" t="s">
        <v>34</v>
      </c>
      <c r="F70" s="5" t="s">
        <v>151</v>
      </c>
      <c r="G70" s="5">
        <v>2019</v>
      </c>
      <c r="H70" s="5" t="str">
        <f>CONCATENATE("94241054116")</f>
        <v>94241054116</v>
      </c>
      <c r="I70" s="5" t="s">
        <v>29</v>
      </c>
      <c r="J70" s="5" t="s">
        <v>30</v>
      </c>
      <c r="K70" s="5" t="str">
        <f>CONCATENATE("")</f>
        <v/>
      </c>
      <c r="L70" s="5" t="str">
        <f>CONCATENATE("14 14.1 3a")</f>
        <v>14 14.1 3a</v>
      </c>
      <c r="M70" s="5" t="str">
        <f>CONCATENATE("RNLMRC78H25A462U")</f>
        <v>RNLMRC78H25A462U</v>
      </c>
      <c r="N70" s="5" t="s">
        <v>152</v>
      </c>
      <c r="O70" s="5" t="s">
        <v>149</v>
      </c>
      <c r="P70" s="6">
        <v>43987</v>
      </c>
      <c r="Q70" s="5" t="s">
        <v>31</v>
      </c>
      <c r="R70" s="5" t="s">
        <v>32</v>
      </c>
      <c r="S70" s="5" t="s">
        <v>33</v>
      </c>
      <c r="T70" s="5"/>
      <c r="U70" s="7">
        <v>1380.27</v>
      </c>
      <c r="V70" s="5">
        <v>595.16999999999996</v>
      </c>
      <c r="W70" s="5">
        <v>549.62</v>
      </c>
      <c r="X70" s="5">
        <v>0</v>
      </c>
      <c r="Y70" s="5">
        <v>235.48</v>
      </c>
    </row>
    <row r="71" spans="1:25" ht="24.75" x14ac:dyDescent="0.25">
      <c r="A71" s="5" t="s">
        <v>26</v>
      </c>
      <c r="B71" s="5" t="s">
        <v>38</v>
      </c>
      <c r="C71" s="5" t="s">
        <v>49</v>
      </c>
      <c r="D71" s="5" t="s">
        <v>50</v>
      </c>
      <c r="E71" s="5" t="s">
        <v>45</v>
      </c>
      <c r="F71" s="5" t="s">
        <v>62</v>
      </c>
      <c r="G71" s="5">
        <v>2019</v>
      </c>
      <c r="H71" s="5" t="str">
        <f>CONCATENATE("94241693806")</f>
        <v>94241693806</v>
      </c>
      <c r="I71" s="5" t="s">
        <v>29</v>
      </c>
      <c r="J71" s="5" t="s">
        <v>30</v>
      </c>
      <c r="K71" s="5" t="str">
        <f>CONCATENATE("")</f>
        <v/>
      </c>
      <c r="L71" s="5" t="str">
        <f>CONCATENATE("14 14.1 3a")</f>
        <v>14 14.1 3a</v>
      </c>
      <c r="M71" s="5" t="str">
        <f>CONCATENATE("TLMGPP37E68E868H")</f>
        <v>TLMGPP37E68E868H</v>
      </c>
      <c r="N71" s="5" t="s">
        <v>153</v>
      </c>
      <c r="O71" s="5" t="s">
        <v>149</v>
      </c>
      <c r="P71" s="6">
        <v>43987</v>
      </c>
      <c r="Q71" s="5" t="s">
        <v>31</v>
      </c>
      <c r="R71" s="5" t="s">
        <v>32</v>
      </c>
      <c r="S71" s="5" t="s">
        <v>33</v>
      </c>
      <c r="T71" s="5"/>
      <c r="U71" s="7">
        <v>15748.63</v>
      </c>
      <c r="V71" s="7">
        <v>6790.81</v>
      </c>
      <c r="W71" s="7">
        <v>6271.1</v>
      </c>
      <c r="X71" s="5">
        <v>0</v>
      </c>
      <c r="Y71" s="7">
        <v>2686.72</v>
      </c>
    </row>
    <row r="72" spans="1:25" x14ac:dyDescent="0.25">
      <c r="A72" s="5" t="s">
        <v>26</v>
      </c>
      <c r="B72" s="5" t="s">
        <v>38</v>
      </c>
      <c r="C72" s="5" t="s">
        <v>49</v>
      </c>
      <c r="D72" s="5" t="s">
        <v>87</v>
      </c>
      <c r="E72" s="5" t="s">
        <v>39</v>
      </c>
      <c r="F72" s="5" t="s">
        <v>154</v>
      </c>
      <c r="G72" s="5">
        <v>2019</v>
      </c>
      <c r="H72" s="5" t="str">
        <f>CONCATENATE("94210408855")</f>
        <v>94210408855</v>
      </c>
      <c r="I72" s="5" t="s">
        <v>29</v>
      </c>
      <c r="J72" s="5" t="s">
        <v>30</v>
      </c>
      <c r="K72" s="5" t="str">
        <f>CONCATENATE("")</f>
        <v/>
      </c>
      <c r="L72" s="5" t="str">
        <f>CONCATENATE("12 12.1 4a")</f>
        <v>12 12.1 4a</v>
      </c>
      <c r="M72" s="5" t="str">
        <f>CONCATENATE("RZOWTR88E06E783C")</f>
        <v>RZOWTR88E06E783C</v>
      </c>
      <c r="N72" s="5" t="s">
        <v>155</v>
      </c>
      <c r="O72" s="5" t="s">
        <v>156</v>
      </c>
      <c r="P72" s="6">
        <v>43987</v>
      </c>
      <c r="Q72" s="5" t="s">
        <v>31</v>
      </c>
      <c r="R72" s="5" t="s">
        <v>32</v>
      </c>
      <c r="S72" s="5" t="s">
        <v>33</v>
      </c>
      <c r="T72" s="5"/>
      <c r="U72" s="5">
        <v>721.24</v>
      </c>
      <c r="V72" s="5">
        <v>311</v>
      </c>
      <c r="W72" s="5">
        <v>287.2</v>
      </c>
      <c r="X72" s="5">
        <v>0</v>
      </c>
      <c r="Y72" s="5">
        <v>123.04</v>
      </c>
    </row>
    <row r="73" spans="1:25" ht="24.75" x14ac:dyDescent="0.25">
      <c r="A73" s="5" t="s">
        <v>26</v>
      </c>
      <c r="B73" s="5" t="s">
        <v>38</v>
      </c>
      <c r="C73" s="5" t="s">
        <v>49</v>
      </c>
      <c r="D73" s="5" t="s">
        <v>50</v>
      </c>
      <c r="E73" s="5" t="s">
        <v>39</v>
      </c>
      <c r="F73" s="5" t="s">
        <v>51</v>
      </c>
      <c r="G73" s="5">
        <v>2019</v>
      </c>
      <c r="H73" s="5" t="str">
        <f>CONCATENATE("94240079395")</f>
        <v>94240079395</v>
      </c>
      <c r="I73" s="5" t="s">
        <v>29</v>
      </c>
      <c r="J73" s="5" t="s">
        <v>30</v>
      </c>
      <c r="K73" s="5" t="str">
        <f>CONCATENATE("")</f>
        <v/>
      </c>
      <c r="L73" s="5" t="str">
        <f>CONCATENATE("10 10.1 4b")</f>
        <v>10 10.1 4b</v>
      </c>
      <c r="M73" s="5" t="str">
        <f>CONCATENATE("CRTNTN54C20L597V")</f>
        <v>CRTNTN54C20L597V</v>
      </c>
      <c r="N73" s="5" t="s">
        <v>119</v>
      </c>
      <c r="O73" s="5" t="s">
        <v>157</v>
      </c>
      <c r="P73" s="6">
        <v>43987</v>
      </c>
      <c r="Q73" s="5" t="s">
        <v>31</v>
      </c>
      <c r="R73" s="5" t="s">
        <v>32</v>
      </c>
      <c r="S73" s="5" t="s">
        <v>33</v>
      </c>
      <c r="T73" s="5"/>
      <c r="U73" s="7">
        <v>7231</v>
      </c>
      <c r="V73" s="7">
        <v>3118.01</v>
      </c>
      <c r="W73" s="7">
        <v>2879.38</v>
      </c>
      <c r="X73" s="5">
        <v>0</v>
      </c>
      <c r="Y73" s="7">
        <v>1233.6099999999999</v>
      </c>
    </row>
    <row r="74" spans="1:25" x14ac:dyDescent="0.25">
      <c r="A74" s="5" t="s">
        <v>26</v>
      </c>
      <c r="B74" s="5" t="s">
        <v>38</v>
      </c>
      <c r="C74" s="5" t="s">
        <v>49</v>
      </c>
      <c r="D74" s="5" t="s">
        <v>87</v>
      </c>
      <c r="E74" s="5" t="s">
        <v>35</v>
      </c>
      <c r="F74" s="5" t="s">
        <v>91</v>
      </c>
      <c r="G74" s="5">
        <v>2019</v>
      </c>
      <c r="H74" s="5" t="str">
        <f>CONCATENATE("94240601578")</f>
        <v>94240601578</v>
      </c>
      <c r="I74" s="5" t="s">
        <v>29</v>
      </c>
      <c r="J74" s="5" t="s">
        <v>30</v>
      </c>
      <c r="K74" s="5" t="str">
        <f>CONCATENATE("")</f>
        <v/>
      </c>
      <c r="L74" s="5" t="str">
        <f>CONCATENATE("10 10.1 4a")</f>
        <v>10 10.1 4a</v>
      </c>
      <c r="M74" s="5" t="str">
        <f>CONCATENATE("PZZPLA69L26B474L")</f>
        <v>PZZPLA69L26B474L</v>
      </c>
      <c r="N74" s="5" t="s">
        <v>158</v>
      </c>
      <c r="O74" s="5" t="s">
        <v>159</v>
      </c>
      <c r="P74" s="6">
        <v>43987</v>
      </c>
      <c r="Q74" s="5" t="s">
        <v>31</v>
      </c>
      <c r="R74" s="5" t="s">
        <v>32</v>
      </c>
      <c r="S74" s="5" t="s">
        <v>33</v>
      </c>
      <c r="T74" s="5"/>
      <c r="U74" s="7">
        <v>12661.93</v>
      </c>
      <c r="V74" s="7">
        <v>5459.82</v>
      </c>
      <c r="W74" s="7">
        <v>5041.9799999999996</v>
      </c>
      <c r="X74" s="5">
        <v>0</v>
      </c>
      <c r="Y74" s="7">
        <v>2160.13</v>
      </c>
    </row>
    <row r="75" spans="1:25" x14ac:dyDescent="0.25">
      <c r="A75" s="5" t="s">
        <v>26</v>
      </c>
      <c r="B75" s="5" t="s">
        <v>38</v>
      </c>
      <c r="C75" s="5" t="s">
        <v>49</v>
      </c>
      <c r="D75" s="5" t="s">
        <v>87</v>
      </c>
      <c r="E75" s="5" t="s">
        <v>35</v>
      </c>
      <c r="F75" s="5" t="s">
        <v>94</v>
      </c>
      <c r="G75" s="5">
        <v>2019</v>
      </c>
      <c r="H75" s="5" t="str">
        <f>CONCATENATE("94240366594")</f>
        <v>94240366594</v>
      </c>
      <c r="I75" s="5" t="s">
        <v>29</v>
      </c>
      <c r="J75" s="5" t="s">
        <v>30</v>
      </c>
      <c r="K75" s="5" t="str">
        <f>CONCATENATE("")</f>
        <v/>
      </c>
      <c r="L75" s="5" t="str">
        <f>CONCATENATE("10 10.1 4a")</f>
        <v>10 10.1 4a</v>
      </c>
      <c r="M75" s="5" t="str">
        <f>CONCATENATE("MSCMLN89C13L117K")</f>
        <v>MSCMLN89C13L117K</v>
      </c>
      <c r="N75" s="5" t="s">
        <v>160</v>
      </c>
      <c r="O75" s="5" t="s">
        <v>159</v>
      </c>
      <c r="P75" s="6">
        <v>43987</v>
      </c>
      <c r="Q75" s="5" t="s">
        <v>31</v>
      </c>
      <c r="R75" s="5" t="s">
        <v>32</v>
      </c>
      <c r="S75" s="5" t="s">
        <v>33</v>
      </c>
      <c r="T75" s="5"/>
      <c r="U75" s="7">
        <v>1092.0999999999999</v>
      </c>
      <c r="V75" s="5">
        <v>470.91</v>
      </c>
      <c r="W75" s="5">
        <v>434.87</v>
      </c>
      <c r="X75" s="5">
        <v>0</v>
      </c>
      <c r="Y75" s="5">
        <v>186.32</v>
      </c>
    </row>
    <row r="76" spans="1:25" ht="24.75" x14ac:dyDescent="0.25">
      <c r="A76" s="5" t="s">
        <v>26</v>
      </c>
      <c r="B76" s="5" t="s">
        <v>38</v>
      </c>
      <c r="C76" s="5" t="s">
        <v>49</v>
      </c>
      <c r="D76" s="5" t="s">
        <v>58</v>
      </c>
      <c r="E76" s="5" t="s">
        <v>45</v>
      </c>
      <c r="F76" s="5" t="s">
        <v>113</v>
      </c>
      <c r="G76" s="5">
        <v>2019</v>
      </c>
      <c r="H76" s="5" t="str">
        <f>CONCATENATE("94241017428")</f>
        <v>94241017428</v>
      </c>
      <c r="I76" s="5" t="s">
        <v>29</v>
      </c>
      <c r="J76" s="5" t="s">
        <v>30</v>
      </c>
      <c r="K76" s="5" t="str">
        <f>CONCATENATE("")</f>
        <v/>
      </c>
      <c r="L76" s="5" t="str">
        <f>CONCATENATE("10 10.1 4a")</f>
        <v>10 10.1 4a</v>
      </c>
      <c r="M76" s="5" t="str">
        <f>CONCATENATE("02585740414")</f>
        <v>02585740414</v>
      </c>
      <c r="N76" s="5" t="s">
        <v>161</v>
      </c>
      <c r="O76" s="5" t="s">
        <v>159</v>
      </c>
      <c r="P76" s="6">
        <v>43987</v>
      </c>
      <c r="Q76" s="5" t="s">
        <v>31</v>
      </c>
      <c r="R76" s="5" t="s">
        <v>32</v>
      </c>
      <c r="S76" s="5" t="s">
        <v>33</v>
      </c>
      <c r="T76" s="5"/>
      <c r="U76" s="7">
        <v>15901.08</v>
      </c>
      <c r="V76" s="7">
        <v>6856.55</v>
      </c>
      <c r="W76" s="7">
        <v>6331.81</v>
      </c>
      <c r="X76" s="5">
        <v>0</v>
      </c>
      <c r="Y76" s="7">
        <v>2712.72</v>
      </c>
    </row>
    <row r="77" spans="1:25" x14ac:dyDescent="0.25">
      <c r="A77" s="5" t="s">
        <v>26</v>
      </c>
      <c r="B77" s="5" t="s">
        <v>38</v>
      </c>
      <c r="C77" s="5" t="s">
        <v>49</v>
      </c>
      <c r="D77" s="5" t="s">
        <v>87</v>
      </c>
      <c r="E77" s="5" t="s">
        <v>35</v>
      </c>
      <c r="F77" s="5" t="s">
        <v>91</v>
      </c>
      <c r="G77" s="5">
        <v>2019</v>
      </c>
      <c r="H77" s="5" t="str">
        <f>CONCATENATE("94240586563")</f>
        <v>94240586563</v>
      </c>
      <c r="I77" s="5" t="s">
        <v>29</v>
      </c>
      <c r="J77" s="5" t="s">
        <v>30</v>
      </c>
      <c r="K77" s="5" t="str">
        <f>CONCATENATE("")</f>
        <v/>
      </c>
      <c r="L77" s="5" t="str">
        <f>CONCATENATE("10 10.1 4a")</f>
        <v>10 10.1 4a</v>
      </c>
      <c r="M77" s="5" t="str">
        <f>CONCATENATE("BNMSLV85T49H501B")</f>
        <v>BNMSLV85T49H501B</v>
      </c>
      <c r="N77" s="5" t="s">
        <v>162</v>
      </c>
      <c r="O77" s="5" t="s">
        <v>159</v>
      </c>
      <c r="P77" s="6">
        <v>43987</v>
      </c>
      <c r="Q77" s="5" t="s">
        <v>31</v>
      </c>
      <c r="R77" s="5" t="s">
        <v>32</v>
      </c>
      <c r="S77" s="5" t="s">
        <v>33</v>
      </c>
      <c r="T77" s="5"/>
      <c r="U77" s="7">
        <v>3037.58</v>
      </c>
      <c r="V77" s="7">
        <v>1309.8</v>
      </c>
      <c r="W77" s="7">
        <v>1209.56</v>
      </c>
      <c r="X77" s="5">
        <v>0</v>
      </c>
      <c r="Y77" s="5">
        <v>518.22</v>
      </c>
    </row>
    <row r="78" spans="1:25" x14ac:dyDescent="0.25">
      <c r="A78" s="5" t="s">
        <v>26</v>
      </c>
      <c r="B78" s="5" t="s">
        <v>38</v>
      </c>
      <c r="C78" s="5" t="s">
        <v>49</v>
      </c>
      <c r="D78" s="5" t="s">
        <v>87</v>
      </c>
      <c r="E78" s="5" t="s">
        <v>39</v>
      </c>
      <c r="F78" s="5" t="s">
        <v>88</v>
      </c>
      <c r="G78" s="5">
        <v>2019</v>
      </c>
      <c r="H78" s="5" t="str">
        <f>CONCATENATE("94240651318")</f>
        <v>94240651318</v>
      </c>
      <c r="I78" s="5" t="s">
        <v>29</v>
      </c>
      <c r="J78" s="5" t="s">
        <v>30</v>
      </c>
      <c r="K78" s="5" t="str">
        <f>CONCATENATE("")</f>
        <v/>
      </c>
      <c r="L78" s="5" t="str">
        <f>CONCATENATE("10 10.1 4a")</f>
        <v>10 10.1 4a</v>
      </c>
      <c r="M78" s="5" t="str">
        <f>CONCATENATE("FBRFST81T23B474X")</f>
        <v>FBRFST81T23B474X</v>
      </c>
      <c r="N78" s="5" t="s">
        <v>163</v>
      </c>
      <c r="O78" s="5" t="s">
        <v>159</v>
      </c>
      <c r="P78" s="6">
        <v>43987</v>
      </c>
      <c r="Q78" s="5" t="s">
        <v>31</v>
      </c>
      <c r="R78" s="5" t="s">
        <v>32</v>
      </c>
      <c r="S78" s="5" t="s">
        <v>33</v>
      </c>
      <c r="T78" s="5"/>
      <c r="U78" s="7">
        <v>8217.2099999999991</v>
      </c>
      <c r="V78" s="7">
        <v>3543.26</v>
      </c>
      <c r="W78" s="7">
        <v>3272.09</v>
      </c>
      <c r="X78" s="5">
        <v>0</v>
      </c>
      <c r="Y78" s="7">
        <v>1401.86</v>
      </c>
    </row>
    <row r="79" spans="1:25" x14ac:dyDescent="0.25">
      <c r="A79" s="5" t="s">
        <v>26</v>
      </c>
      <c r="B79" s="5" t="s">
        <v>38</v>
      </c>
      <c r="C79" s="5" t="s">
        <v>49</v>
      </c>
      <c r="D79" s="5" t="s">
        <v>87</v>
      </c>
      <c r="E79" s="5" t="s">
        <v>39</v>
      </c>
      <c r="F79" s="5" t="s">
        <v>88</v>
      </c>
      <c r="G79" s="5">
        <v>2019</v>
      </c>
      <c r="H79" s="5" t="str">
        <f>CONCATENATE("94240350077")</f>
        <v>94240350077</v>
      </c>
      <c r="I79" s="5" t="s">
        <v>29</v>
      </c>
      <c r="J79" s="5" t="s">
        <v>30</v>
      </c>
      <c r="K79" s="5" t="str">
        <f>CONCATENATE("")</f>
        <v/>
      </c>
      <c r="L79" s="5" t="str">
        <f>CONCATENATE("14 14.1 3a")</f>
        <v>14 14.1 3a</v>
      </c>
      <c r="M79" s="5" t="str">
        <f>CONCATENATE("FBRFST81T23B474X")</f>
        <v>FBRFST81T23B474X</v>
      </c>
      <c r="N79" s="5" t="s">
        <v>163</v>
      </c>
      <c r="O79" s="5" t="s">
        <v>149</v>
      </c>
      <c r="P79" s="6">
        <v>43987</v>
      </c>
      <c r="Q79" s="5" t="s">
        <v>31</v>
      </c>
      <c r="R79" s="5" t="s">
        <v>32</v>
      </c>
      <c r="S79" s="5" t="s">
        <v>33</v>
      </c>
      <c r="T79" s="5"/>
      <c r="U79" s="7">
        <v>1065.76</v>
      </c>
      <c r="V79" s="5">
        <v>459.56</v>
      </c>
      <c r="W79" s="5">
        <v>424.39</v>
      </c>
      <c r="X79" s="5">
        <v>0</v>
      </c>
      <c r="Y79" s="5">
        <v>181.81</v>
      </c>
    </row>
    <row r="80" spans="1:25" ht="24.75" x14ac:dyDescent="0.25">
      <c r="A80" s="5" t="s">
        <v>26</v>
      </c>
      <c r="B80" s="5" t="s">
        <v>38</v>
      </c>
      <c r="C80" s="5" t="s">
        <v>49</v>
      </c>
      <c r="D80" s="5" t="s">
        <v>50</v>
      </c>
      <c r="E80" s="5" t="s">
        <v>39</v>
      </c>
      <c r="F80" s="5" t="s">
        <v>51</v>
      </c>
      <c r="G80" s="5">
        <v>2019</v>
      </c>
      <c r="H80" s="5" t="str">
        <f>CONCATENATE("94241067316")</f>
        <v>94241067316</v>
      </c>
      <c r="I80" s="5" t="s">
        <v>29</v>
      </c>
      <c r="J80" s="5" t="s">
        <v>30</v>
      </c>
      <c r="K80" s="5" t="str">
        <f>CONCATENATE("")</f>
        <v/>
      </c>
      <c r="L80" s="5" t="str">
        <f>CONCATENATE("10 10.1 4a")</f>
        <v>10 10.1 4a</v>
      </c>
      <c r="M80" s="5" t="str">
        <f>CONCATENATE("LRAMRA57E22A437D")</f>
        <v>LRAMRA57E22A437D</v>
      </c>
      <c r="N80" s="5" t="s">
        <v>164</v>
      </c>
      <c r="O80" s="5" t="s">
        <v>159</v>
      </c>
      <c r="P80" s="6">
        <v>43987</v>
      </c>
      <c r="Q80" s="5" t="s">
        <v>31</v>
      </c>
      <c r="R80" s="5" t="s">
        <v>32</v>
      </c>
      <c r="S80" s="5" t="s">
        <v>33</v>
      </c>
      <c r="T80" s="5"/>
      <c r="U80" s="7">
        <v>1845.52</v>
      </c>
      <c r="V80" s="5">
        <v>795.79</v>
      </c>
      <c r="W80" s="5">
        <v>734.89</v>
      </c>
      <c r="X80" s="5">
        <v>0</v>
      </c>
      <c r="Y80" s="5">
        <v>314.83999999999997</v>
      </c>
    </row>
    <row r="81" spans="1:25" ht="24.75" x14ac:dyDescent="0.25">
      <c r="A81" s="5" t="s">
        <v>26</v>
      </c>
      <c r="B81" s="5" t="s">
        <v>38</v>
      </c>
      <c r="C81" s="5" t="s">
        <v>49</v>
      </c>
      <c r="D81" s="5" t="s">
        <v>87</v>
      </c>
      <c r="E81" s="5" t="s">
        <v>35</v>
      </c>
      <c r="F81" s="5" t="s">
        <v>94</v>
      </c>
      <c r="G81" s="5">
        <v>2019</v>
      </c>
      <c r="H81" s="5" t="str">
        <f>CONCATENATE("94240365695")</f>
        <v>94240365695</v>
      </c>
      <c r="I81" s="5" t="s">
        <v>29</v>
      </c>
      <c r="J81" s="5" t="s">
        <v>30</v>
      </c>
      <c r="K81" s="5" t="str">
        <f>CONCATENATE("")</f>
        <v/>
      </c>
      <c r="L81" s="5" t="str">
        <f>CONCATENATE("10 10.1 4a")</f>
        <v>10 10.1 4a</v>
      </c>
      <c r="M81" s="5" t="str">
        <f>CONCATENATE("MGGFRC81M58B474M")</f>
        <v>MGGFRC81M58B474M</v>
      </c>
      <c r="N81" s="5" t="s">
        <v>165</v>
      </c>
      <c r="O81" s="5" t="s">
        <v>159</v>
      </c>
      <c r="P81" s="6">
        <v>43987</v>
      </c>
      <c r="Q81" s="5" t="s">
        <v>31</v>
      </c>
      <c r="R81" s="5" t="s">
        <v>32</v>
      </c>
      <c r="S81" s="5" t="s">
        <v>33</v>
      </c>
      <c r="T81" s="5"/>
      <c r="U81" s="7">
        <v>3658.02</v>
      </c>
      <c r="V81" s="7">
        <v>1577.34</v>
      </c>
      <c r="W81" s="7">
        <v>1456.62</v>
      </c>
      <c r="X81" s="5">
        <v>0</v>
      </c>
      <c r="Y81" s="5">
        <v>624.05999999999995</v>
      </c>
    </row>
    <row r="82" spans="1:25" ht="24.75" x14ac:dyDescent="0.25">
      <c r="A82" s="5" t="s">
        <v>26</v>
      </c>
      <c r="B82" s="5" t="s">
        <v>38</v>
      </c>
      <c r="C82" s="5" t="s">
        <v>49</v>
      </c>
      <c r="D82" s="5" t="s">
        <v>50</v>
      </c>
      <c r="E82" s="5" t="s">
        <v>43</v>
      </c>
      <c r="F82" s="5" t="s">
        <v>166</v>
      </c>
      <c r="G82" s="5">
        <v>2019</v>
      </c>
      <c r="H82" s="5" t="str">
        <f>CONCATENATE("94241071946")</f>
        <v>94241071946</v>
      </c>
      <c r="I82" s="5" t="s">
        <v>29</v>
      </c>
      <c r="J82" s="5" t="s">
        <v>30</v>
      </c>
      <c r="K82" s="5" t="str">
        <f>CONCATENATE("")</f>
        <v/>
      </c>
      <c r="L82" s="5" t="str">
        <f>CONCATENATE("14 14.1 3a")</f>
        <v>14 14.1 3a</v>
      </c>
      <c r="M82" s="5" t="str">
        <f>CONCATENATE("GNNLRD70R07A252X")</f>
        <v>GNNLRD70R07A252X</v>
      </c>
      <c r="N82" s="5" t="s">
        <v>167</v>
      </c>
      <c r="O82" s="5" t="s">
        <v>149</v>
      </c>
      <c r="P82" s="6">
        <v>43987</v>
      </c>
      <c r="Q82" s="5" t="s">
        <v>31</v>
      </c>
      <c r="R82" s="5" t="s">
        <v>32</v>
      </c>
      <c r="S82" s="5" t="s">
        <v>33</v>
      </c>
      <c r="T82" s="5"/>
      <c r="U82" s="7">
        <v>1439.85</v>
      </c>
      <c r="V82" s="5">
        <v>620.86</v>
      </c>
      <c r="W82" s="5">
        <v>573.35</v>
      </c>
      <c r="X82" s="5">
        <v>0</v>
      </c>
      <c r="Y82" s="5">
        <v>245.64</v>
      </c>
    </row>
    <row r="83" spans="1:25" ht="24.75" x14ac:dyDescent="0.25">
      <c r="A83" s="5" t="s">
        <v>26</v>
      </c>
      <c r="B83" s="5" t="s">
        <v>38</v>
      </c>
      <c r="C83" s="5" t="s">
        <v>49</v>
      </c>
      <c r="D83" s="5" t="s">
        <v>50</v>
      </c>
      <c r="E83" s="5" t="s">
        <v>43</v>
      </c>
      <c r="F83" s="5" t="s">
        <v>166</v>
      </c>
      <c r="G83" s="5">
        <v>2019</v>
      </c>
      <c r="H83" s="5" t="str">
        <f>CONCATENATE("94241072076")</f>
        <v>94241072076</v>
      </c>
      <c r="I83" s="5" t="s">
        <v>29</v>
      </c>
      <c r="J83" s="5" t="s">
        <v>30</v>
      </c>
      <c r="K83" s="5" t="str">
        <f>CONCATENATE("")</f>
        <v/>
      </c>
      <c r="L83" s="5" t="str">
        <f>CONCATENATE("14 14.1 3a")</f>
        <v>14 14.1 3a</v>
      </c>
      <c r="M83" s="5" t="str">
        <f>CONCATENATE("VTTPTR35H17C935T")</f>
        <v>VTTPTR35H17C935T</v>
      </c>
      <c r="N83" s="5" t="s">
        <v>168</v>
      </c>
      <c r="O83" s="5" t="s">
        <v>149</v>
      </c>
      <c r="P83" s="6">
        <v>43987</v>
      </c>
      <c r="Q83" s="5" t="s">
        <v>31</v>
      </c>
      <c r="R83" s="5" t="s">
        <v>32</v>
      </c>
      <c r="S83" s="5" t="s">
        <v>33</v>
      </c>
      <c r="T83" s="5"/>
      <c r="U83" s="5">
        <v>682.5</v>
      </c>
      <c r="V83" s="5">
        <v>294.29000000000002</v>
      </c>
      <c r="W83" s="5">
        <v>271.77</v>
      </c>
      <c r="X83" s="5">
        <v>0</v>
      </c>
      <c r="Y83" s="5">
        <v>116.44</v>
      </c>
    </row>
    <row r="84" spans="1:25" ht="24.75" x14ac:dyDescent="0.25">
      <c r="A84" s="5" t="s">
        <v>26</v>
      </c>
      <c r="B84" s="5" t="s">
        <v>38</v>
      </c>
      <c r="C84" s="5" t="s">
        <v>49</v>
      </c>
      <c r="D84" s="5" t="s">
        <v>50</v>
      </c>
      <c r="E84" s="5" t="s">
        <v>43</v>
      </c>
      <c r="F84" s="5" t="s">
        <v>166</v>
      </c>
      <c r="G84" s="5">
        <v>2019</v>
      </c>
      <c r="H84" s="5" t="str">
        <f>CONCATENATE("94241072233")</f>
        <v>94241072233</v>
      </c>
      <c r="I84" s="5" t="s">
        <v>29</v>
      </c>
      <c r="J84" s="5" t="s">
        <v>30</v>
      </c>
      <c r="K84" s="5" t="str">
        <f>CONCATENATE("")</f>
        <v/>
      </c>
      <c r="L84" s="5" t="str">
        <f>CONCATENATE("14 14.1 3a")</f>
        <v>14 14.1 3a</v>
      </c>
      <c r="M84" s="5" t="str">
        <f>CONCATENATE("02361410448")</f>
        <v>02361410448</v>
      </c>
      <c r="N84" s="5" t="s">
        <v>169</v>
      </c>
      <c r="O84" s="5" t="s">
        <v>149</v>
      </c>
      <c r="P84" s="6">
        <v>43987</v>
      </c>
      <c r="Q84" s="5" t="s">
        <v>31</v>
      </c>
      <c r="R84" s="5" t="s">
        <v>32</v>
      </c>
      <c r="S84" s="5" t="s">
        <v>33</v>
      </c>
      <c r="T84" s="5"/>
      <c r="U84" s="7">
        <v>15347.58</v>
      </c>
      <c r="V84" s="7">
        <v>6617.88</v>
      </c>
      <c r="W84" s="7">
        <v>6111.41</v>
      </c>
      <c r="X84" s="5">
        <v>0</v>
      </c>
      <c r="Y84" s="7">
        <v>2618.29</v>
      </c>
    </row>
    <row r="85" spans="1:25" ht="24.75" x14ac:dyDescent="0.25">
      <c r="A85" s="5" t="s">
        <v>26</v>
      </c>
      <c r="B85" s="5" t="s">
        <v>38</v>
      </c>
      <c r="C85" s="5" t="s">
        <v>49</v>
      </c>
      <c r="D85" s="5" t="s">
        <v>50</v>
      </c>
      <c r="E85" s="5" t="s">
        <v>39</v>
      </c>
      <c r="F85" s="5" t="s">
        <v>66</v>
      </c>
      <c r="G85" s="5">
        <v>2019</v>
      </c>
      <c r="H85" s="5" t="str">
        <f>CONCATENATE("94240786320")</f>
        <v>94240786320</v>
      </c>
      <c r="I85" s="5" t="s">
        <v>29</v>
      </c>
      <c r="J85" s="5" t="s">
        <v>30</v>
      </c>
      <c r="K85" s="5" t="str">
        <f>CONCATENATE("")</f>
        <v/>
      </c>
      <c r="L85" s="5" t="str">
        <f>CONCATENATE("14 14.1 3a")</f>
        <v>14 14.1 3a</v>
      </c>
      <c r="M85" s="5" t="str">
        <f>CONCATENATE("02311290445")</f>
        <v>02311290445</v>
      </c>
      <c r="N85" s="5" t="s">
        <v>170</v>
      </c>
      <c r="O85" s="5" t="s">
        <v>149</v>
      </c>
      <c r="P85" s="6">
        <v>43987</v>
      </c>
      <c r="Q85" s="5" t="s">
        <v>31</v>
      </c>
      <c r="R85" s="5" t="s">
        <v>32</v>
      </c>
      <c r="S85" s="5" t="s">
        <v>33</v>
      </c>
      <c r="T85" s="5"/>
      <c r="U85" s="5">
        <v>926.82</v>
      </c>
      <c r="V85" s="5">
        <v>399.64</v>
      </c>
      <c r="W85" s="5">
        <v>369.06</v>
      </c>
      <c r="X85" s="5">
        <v>0</v>
      </c>
      <c r="Y85" s="5">
        <v>158.12</v>
      </c>
    </row>
    <row r="86" spans="1:25" ht="24.75" x14ac:dyDescent="0.25">
      <c r="A86" s="5" t="s">
        <v>26</v>
      </c>
      <c r="B86" s="5" t="s">
        <v>38</v>
      </c>
      <c r="C86" s="5" t="s">
        <v>49</v>
      </c>
      <c r="D86" s="5" t="s">
        <v>50</v>
      </c>
      <c r="E86" s="5" t="s">
        <v>39</v>
      </c>
      <c r="F86" s="5" t="s">
        <v>66</v>
      </c>
      <c r="G86" s="5">
        <v>2019</v>
      </c>
      <c r="H86" s="5" t="str">
        <f>CONCATENATE("94240871254")</f>
        <v>94240871254</v>
      </c>
      <c r="I86" s="5" t="s">
        <v>29</v>
      </c>
      <c r="J86" s="5" t="s">
        <v>30</v>
      </c>
      <c r="K86" s="5" t="str">
        <f>CONCATENATE("")</f>
        <v/>
      </c>
      <c r="L86" s="5" t="str">
        <f>CONCATENATE("14 14.1 3a")</f>
        <v>14 14.1 3a</v>
      </c>
      <c r="M86" s="5" t="str">
        <f>CONCATENATE("BSCMRA66P17A454E")</f>
        <v>BSCMRA66P17A454E</v>
      </c>
      <c r="N86" s="5" t="s">
        <v>171</v>
      </c>
      <c r="O86" s="5" t="s">
        <v>149</v>
      </c>
      <c r="P86" s="6">
        <v>43987</v>
      </c>
      <c r="Q86" s="5" t="s">
        <v>31</v>
      </c>
      <c r="R86" s="5" t="s">
        <v>32</v>
      </c>
      <c r="S86" s="5" t="s">
        <v>33</v>
      </c>
      <c r="T86" s="5"/>
      <c r="U86" s="7">
        <v>1459.08</v>
      </c>
      <c r="V86" s="5">
        <v>629.16</v>
      </c>
      <c r="W86" s="5">
        <v>581.01</v>
      </c>
      <c r="X86" s="5">
        <v>0</v>
      </c>
      <c r="Y86" s="5">
        <v>248.91</v>
      </c>
    </row>
    <row r="87" spans="1:25" x14ac:dyDescent="0.25">
      <c r="A87" s="5" t="s">
        <v>26</v>
      </c>
      <c r="B87" s="5" t="s">
        <v>38</v>
      </c>
      <c r="C87" s="5" t="s">
        <v>49</v>
      </c>
      <c r="D87" s="5" t="s">
        <v>87</v>
      </c>
      <c r="E87" s="5" t="s">
        <v>39</v>
      </c>
      <c r="F87" s="5" t="s">
        <v>88</v>
      </c>
      <c r="G87" s="5">
        <v>2019</v>
      </c>
      <c r="H87" s="5" t="str">
        <f>CONCATENATE("94240209711")</f>
        <v>94240209711</v>
      </c>
      <c r="I87" s="5" t="s">
        <v>29</v>
      </c>
      <c r="J87" s="5" t="s">
        <v>30</v>
      </c>
      <c r="K87" s="5" t="str">
        <f>CONCATENATE("")</f>
        <v/>
      </c>
      <c r="L87" s="5" t="str">
        <f>CONCATENATE("14 14.1 3a")</f>
        <v>14 14.1 3a</v>
      </c>
      <c r="M87" s="5" t="str">
        <f>CONCATENATE("DMNRTI46P66I569J")</f>
        <v>DMNRTI46P66I569J</v>
      </c>
      <c r="N87" s="5" t="s">
        <v>172</v>
      </c>
      <c r="O87" s="5" t="s">
        <v>149</v>
      </c>
      <c r="P87" s="6">
        <v>43987</v>
      </c>
      <c r="Q87" s="5" t="s">
        <v>31</v>
      </c>
      <c r="R87" s="5" t="s">
        <v>32</v>
      </c>
      <c r="S87" s="5" t="s">
        <v>33</v>
      </c>
      <c r="T87" s="5"/>
      <c r="U87" s="7">
        <v>2403.06</v>
      </c>
      <c r="V87" s="7">
        <v>1036.2</v>
      </c>
      <c r="W87" s="5">
        <v>956.9</v>
      </c>
      <c r="X87" s="5">
        <v>0</v>
      </c>
      <c r="Y87" s="5">
        <v>409.96</v>
      </c>
    </row>
    <row r="88" spans="1:25" ht="24.75" x14ac:dyDescent="0.25">
      <c r="A88" s="5" t="s">
        <v>26</v>
      </c>
      <c r="B88" s="5" t="s">
        <v>38</v>
      </c>
      <c r="C88" s="5" t="s">
        <v>49</v>
      </c>
      <c r="D88" s="5" t="s">
        <v>50</v>
      </c>
      <c r="E88" s="5" t="s">
        <v>36</v>
      </c>
      <c r="F88" s="5" t="s">
        <v>36</v>
      </c>
      <c r="G88" s="5">
        <v>2019</v>
      </c>
      <c r="H88" s="5" t="str">
        <f>CONCATENATE("94240567761")</f>
        <v>94240567761</v>
      </c>
      <c r="I88" s="5" t="s">
        <v>29</v>
      </c>
      <c r="J88" s="5" t="s">
        <v>30</v>
      </c>
      <c r="K88" s="5" t="str">
        <f>CONCATENATE("")</f>
        <v/>
      </c>
      <c r="L88" s="5" t="str">
        <f>CONCATENATE("14 14.1 3a")</f>
        <v>14 14.1 3a</v>
      </c>
      <c r="M88" s="5" t="str">
        <f>CONCATENATE("BBRNTN85B01D542U")</f>
        <v>BBRNTN85B01D542U</v>
      </c>
      <c r="N88" s="5" t="s">
        <v>173</v>
      </c>
      <c r="O88" s="5" t="s">
        <v>149</v>
      </c>
      <c r="P88" s="6">
        <v>43987</v>
      </c>
      <c r="Q88" s="5" t="s">
        <v>31</v>
      </c>
      <c r="R88" s="5" t="s">
        <v>32</v>
      </c>
      <c r="S88" s="5" t="s">
        <v>33</v>
      </c>
      <c r="T88" s="5"/>
      <c r="U88" s="5">
        <v>941.1</v>
      </c>
      <c r="V88" s="5">
        <v>405.8</v>
      </c>
      <c r="W88" s="5">
        <v>374.75</v>
      </c>
      <c r="X88" s="5">
        <v>0</v>
      </c>
      <c r="Y88" s="5">
        <v>160.55000000000001</v>
      </c>
    </row>
    <row r="89" spans="1:25" ht="24.75" x14ac:dyDescent="0.25">
      <c r="A89" s="5" t="s">
        <v>26</v>
      </c>
      <c r="B89" s="5" t="s">
        <v>38</v>
      </c>
      <c r="C89" s="5" t="s">
        <v>49</v>
      </c>
      <c r="D89" s="5" t="s">
        <v>50</v>
      </c>
      <c r="E89" s="5" t="s">
        <v>36</v>
      </c>
      <c r="F89" s="5" t="s">
        <v>36</v>
      </c>
      <c r="G89" s="5">
        <v>2019</v>
      </c>
      <c r="H89" s="5" t="str">
        <f>CONCATENATE("94241137606")</f>
        <v>94241137606</v>
      </c>
      <c r="I89" s="5" t="s">
        <v>29</v>
      </c>
      <c r="J89" s="5" t="s">
        <v>30</v>
      </c>
      <c r="K89" s="5" t="str">
        <f>CONCATENATE("")</f>
        <v/>
      </c>
      <c r="L89" s="5" t="str">
        <f>CONCATENATE("14 14.1 3a")</f>
        <v>14 14.1 3a</v>
      </c>
      <c r="M89" s="5" t="str">
        <f>CONCATENATE("ZZIGNN71S20I774Y")</f>
        <v>ZZIGNN71S20I774Y</v>
      </c>
      <c r="N89" s="5" t="s">
        <v>174</v>
      </c>
      <c r="O89" s="5" t="s">
        <v>149</v>
      </c>
      <c r="P89" s="6">
        <v>43987</v>
      </c>
      <c r="Q89" s="5" t="s">
        <v>31</v>
      </c>
      <c r="R89" s="5" t="s">
        <v>32</v>
      </c>
      <c r="S89" s="5" t="s">
        <v>33</v>
      </c>
      <c r="T89" s="5"/>
      <c r="U89" s="5">
        <v>856.36</v>
      </c>
      <c r="V89" s="5">
        <v>369.26</v>
      </c>
      <c r="W89" s="5">
        <v>341</v>
      </c>
      <c r="X89" s="5">
        <v>0</v>
      </c>
      <c r="Y89" s="5">
        <v>146.1</v>
      </c>
    </row>
    <row r="90" spans="1:25" ht="24.75" x14ac:dyDescent="0.25">
      <c r="A90" s="5" t="s">
        <v>26</v>
      </c>
      <c r="B90" s="5" t="s">
        <v>38</v>
      </c>
      <c r="C90" s="5" t="s">
        <v>49</v>
      </c>
      <c r="D90" s="5" t="s">
        <v>50</v>
      </c>
      <c r="E90" s="5" t="s">
        <v>45</v>
      </c>
      <c r="F90" s="5" t="s">
        <v>62</v>
      </c>
      <c r="G90" s="5">
        <v>2019</v>
      </c>
      <c r="H90" s="5" t="str">
        <f>CONCATENATE("94241160079")</f>
        <v>94241160079</v>
      </c>
      <c r="I90" s="5" t="s">
        <v>29</v>
      </c>
      <c r="J90" s="5" t="s">
        <v>30</v>
      </c>
      <c r="K90" s="5" t="str">
        <f>CONCATENATE("")</f>
        <v/>
      </c>
      <c r="L90" s="5" t="str">
        <f>CONCATENATE("14 14.1 3a")</f>
        <v>14 14.1 3a</v>
      </c>
      <c r="M90" s="5" t="str">
        <f>CONCATENATE("SCRFRZ70M23F614E")</f>
        <v>SCRFRZ70M23F614E</v>
      </c>
      <c r="N90" s="5" t="s">
        <v>175</v>
      </c>
      <c r="O90" s="5" t="s">
        <v>149</v>
      </c>
      <c r="P90" s="6">
        <v>43987</v>
      </c>
      <c r="Q90" s="5" t="s">
        <v>31</v>
      </c>
      <c r="R90" s="5" t="s">
        <v>32</v>
      </c>
      <c r="S90" s="5" t="s">
        <v>33</v>
      </c>
      <c r="T90" s="5"/>
      <c r="U90" s="7">
        <v>9313.7999999999993</v>
      </c>
      <c r="V90" s="7">
        <v>4016.11</v>
      </c>
      <c r="W90" s="7">
        <v>3708.76</v>
      </c>
      <c r="X90" s="5">
        <v>0</v>
      </c>
      <c r="Y90" s="7">
        <v>1588.93</v>
      </c>
    </row>
    <row r="91" spans="1:25" ht="24.75" x14ac:dyDescent="0.25">
      <c r="A91" s="5" t="s">
        <v>26</v>
      </c>
      <c r="B91" s="5" t="s">
        <v>38</v>
      </c>
      <c r="C91" s="5" t="s">
        <v>49</v>
      </c>
      <c r="D91" s="5" t="s">
        <v>50</v>
      </c>
      <c r="E91" s="5" t="s">
        <v>45</v>
      </c>
      <c r="F91" s="5" t="s">
        <v>62</v>
      </c>
      <c r="G91" s="5">
        <v>2019</v>
      </c>
      <c r="H91" s="5" t="str">
        <f>CONCATENATE("94240606965")</f>
        <v>94240606965</v>
      </c>
      <c r="I91" s="5" t="s">
        <v>29</v>
      </c>
      <c r="J91" s="5" t="s">
        <v>30</v>
      </c>
      <c r="K91" s="5" t="str">
        <f>CONCATENATE("")</f>
        <v/>
      </c>
      <c r="L91" s="5" t="str">
        <f>CONCATENATE("14 14.1 3a")</f>
        <v>14 14.1 3a</v>
      </c>
      <c r="M91" s="5" t="str">
        <f>CONCATENATE("TRVNTN47P28F380M")</f>
        <v>TRVNTN47P28F380M</v>
      </c>
      <c r="N91" s="5" t="s">
        <v>176</v>
      </c>
      <c r="O91" s="5" t="s">
        <v>149</v>
      </c>
      <c r="P91" s="6">
        <v>43987</v>
      </c>
      <c r="Q91" s="5" t="s">
        <v>31</v>
      </c>
      <c r="R91" s="5" t="s">
        <v>32</v>
      </c>
      <c r="S91" s="5" t="s">
        <v>33</v>
      </c>
      <c r="T91" s="5"/>
      <c r="U91" s="7">
        <v>5130</v>
      </c>
      <c r="V91" s="7">
        <v>2212.06</v>
      </c>
      <c r="W91" s="7">
        <v>2042.77</v>
      </c>
      <c r="X91" s="5">
        <v>0</v>
      </c>
      <c r="Y91" s="5">
        <v>875.17</v>
      </c>
    </row>
    <row r="92" spans="1:25" ht="24.75" x14ac:dyDescent="0.25">
      <c r="A92" s="5" t="s">
        <v>26</v>
      </c>
      <c r="B92" s="5" t="s">
        <v>38</v>
      </c>
      <c r="C92" s="5" t="s">
        <v>49</v>
      </c>
      <c r="D92" s="5" t="s">
        <v>87</v>
      </c>
      <c r="E92" s="5" t="s">
        <v>39</v>
      </c>
      <c r="F92" s="5" t="s">
        <v>143</v>
      </c>
      <c r="G92" s="5">
        <v>2018</v>
      </c>
      <c r="H92" s="5" t="str">
        <f>CONCATENATE("84240742118")</f>
        <v>84240742118</v>
      </c>
      <c r="I92" s="5" t="s">
        <v>29</v>
      </c>
      <c r="J92" s="5" t="s">
        <v>30</v>
      </c>
      <c r="K92" s="5" t="str">
        <f>CONCATENATE("")</f>
        <v/>
      </c>
      <c r="L92" s="5" t="str">
        <f>CONCATENATE("14 14.1 3a")</f>
        <v>14 14.1 3a</v>
      </c>
      <c r="M92" s="5" t="str">
        <f>CONCATENATE("01010760435")</f>
        <v>01010760435</v>
      </c>
      <c r="N92" s="5" t="s">
        <v>177</v>
      </c>
      <c r="O92" s="5" t="s">
        <v>178</v>
      </c>
      <c r="P92" s="6">
        <v>43987</v>
      </c>
      <c r="Q92" s="5" t="s">
        <v>31</v>
      </c>
      <c r="R92" s="5" t="s">
        <v>32</v>
      </c>
      <c r="S92" s="5" t="s">
        <v>33</v>
      </c>
      <c r="T92" s="5"/>
      <c r="U92" s="7">
        <v>8050</v>
      </c>
      <c r="V92" s="7">
        <v>3471.16</v>
      </c>
      <c r="W92" s="7">
        <v>3205.51</v>
      </c>
      <c r="X92" s="5">
        <v>0</v>
      </c>
      <c r="Y92" s="7">
        <v>1373.33</v>
      </c>
    </row>
    <row r="93" spans="1:25" ht="24.75" x14ac:dyDescent="0.25">
      <c r="A93" s="5" t="s">
        <v>26</v>
      </c>
      <c r="B93" s="5" t="s">
        <v>38</v>
      </c>
      <c r="C93" s="5" t="s">
        <v>49</v>
      </c>
      <c r="D93" s="5" t="s">
        <v>87</v>
      </c>
      <c r="E93" s="5" t="s">
        <v>39</v>
      </c>
      <c r="F93" s="5" t="s">
        <v>143</v>
      </c>
      <c r="G93" s="5">
        <v>2019</v>
      </c>
      <c r="H93" s="5" t="str">
        <f>CONCATENATE("94240657802")</f>
        <v>94240657802</v>
      </c>
      <c r="I93" s="5" t="s">
        <v>29</v>
      </c>
      <c r="J93" s="5" t="s">
        <v>30</v>
      </c>
      <c r="K93" s="5" t="str">
        <f>CONCATENATE("")</f>
        <v/>
      </c>
      <c r="L93" s="5" t="str">
        <f>CONCATENATE("14 14.1 3a")</f>
        <v>14 14.1 3a</v>
      </c>
      <c r="M93" s="5" t="str">
        <f>CONCATENATE("01010760435")</f>
        <v>01010760435</v>
      </c>
      <c r="N93" s="5" t="s">
        <v>177</v>
      </c>
      <c r="O93" s="5" t="s">
        <v>178</v>
      </c>
      <c r="P93" s="6">
        <v>43987</v>
      </c>
      <c r="Q93" s="5" t="s">
        <v>31</v>
      </c>
      <c r="R93" s="5" t="s">
        <v>32</v>
      </c>
      <c r="S93" s="5" t="s">
        <v>33</v>
      </c>
      <c r="T93" s="5"/>
      <c r="U93" s="7">
        <v>7800</v>
      </c>
      <c r="V93" s="7">
        <v>3363.36</v>
      </c>
      <c r="W93" s="7">
        <v>3105.96</v>
      </c>
      <c r="X93" s="5">
        <v>0</v>
      </c>
      <c r="Y93" s="7">
        <v>1330.68</v>
      </c>
    </row>
    <row r="94" spans="1:25" ht="24.75" x14ac:dyDescent="0.25">
      <c r="A94" s="5" t="s">
        <v>26</v>
      </c>
      <c r="B94" s="5" t="s">
        <v>38</v>
      </c>
      <c r="C94" s="5" t="s">
        <v>49</v>
      </c>
      <c r="D94" s="5" t="s">
        <v>87</v>
      </c>
      <c r="E94" s="5" t="s">
        <v>39</v>
      </c>
      <c r="F94" s="5" t="s">
        <v>154</v>
      </c>
      <c r="G94" s="5">
        <v>2019</v>
      </c>
      <c r="H94" s="5" t="str">
        <f>CONCATENATE("94210594597")</f>
        <v>94210594597</v>
      </c>
      <c r="I94" s="5" t="s">
        <v>29</v>
      </c>
      <c r="J94" s="5" t="s">
        <v>30</v>
      </c>
      <c r="K94" s="5" t="str">
        <f>CONCATENATE("")</f>
        <v/>
      </c>
      <c r="L94" s="5" t="str">
        <f>CONCATENATE("12 12.1 4a")</f>
        <v>12 12.1 4a</v>
      </c>
      <c r="M94" s="5" t="str">
        <f>CONCATENATE("00389590431")</f>
        <v>00389590431</v>
      </c>
      <c r="N94" s="5" t="s">
        <v>179</v>
      </c>
      <c r="O94" s="5" t="s">
        <v>156</v>
      </c>
      <c r="P94" s="6">
        <v>43987</v>
      </c>
      <c r="Q94" s="5" t="s">
        <v>31</v>
      </c>
      <c r="R94" s="5" t="s">
        <v>32</v>
      </c>
      <c r="S94" s="5" t="s">
        <v>33</v>
      </c>
      <c r="T94" s="5"/>
      <c r="U94" s="5">
        <v>907.54</v>
      </c>
      <c r="V94" s="5">
        <v>391.33</v>
      </c>
      <c r="W94" s="5">
        <v>361.38</v>
      </c>
      <c r="X94" s="5">
        <v>0</v>
      </c>
      <c r="Y94" s="5">
        <v>154.83000000000001</v>
      </c>
    </row>
    <row r="95" spans="1:25" ht="24.75" x14ac:dyDescent="0.25">
      <c r="A95" s="5" t="s">
        <v>26</v>
      </c>
      <c r="B95" s="5" t="s">
        <v>38</v>
      </c>
      <c r="C95" s="5" t="s">
        <v>49</v>
      </c>
      <c r="D95" s="5" t="s">
        <v>50</v>
      </c>
      <c r="E95" s="5" t="s">
        <v>39</v>
      </c>
      <c r="F95" s="5" t="s">
        <v>51</v>
      </c>
      <c r="G95" s="5">
        <v>2019</v>
      </c>
      <c r="H95" s="5" t="str">
        <f>CONCATENATE("94241063588")</f>
        <v>94241063588</v>
      </c>
      <c r="I95" s="5" t="s">
        <v>29</v>
      </c>
      <c r="J95" s="5" t="s">
        <v>30</v>
      </c>
      <c r="K95" s="5" t="str">
        <f>CONCATENATE("")</f>
        <v/>
      </c>
      <c r="L95" s="5" t="str">
        <f>CONCATENATE("14 14.1 3a")</f>
        <v>14 14.1 3a</v>
      </c>
      <c r="M95" s="5" t="str">
        <f>CONCATENATE("LRAPLA59H05A437S")</f>
        <v>LRAPLA59H05A437S</v>
      </c>
      <c r="N95" s="5" t="s">
        <v>180</v>
      </c>
      <c r="O95" s="5" t="s">
        <v>149</v>
      </c>
      <c r="P95" s="6">
        <v>43987</v>
      </c>
      <c r="Q95" s="5" t="s">
        <v>31</v>
      </c>
      <c r="R95" s="5" t="s">
        <v>32</v>
      </c>
      <c r="S95" s="5" t="s">
        <v>33</v>
      </c>
      <c r="T95" s="5"/>
      <c r="U95" s="5">
        <v>450</v>
      </c>
      <c r="V95" s="5">
        <v>194.04</v>
      </c>
      <c r="W95" s="5">
        <v>179.19</v>
      </c>
      <c r="X95" s="5">
        <v>0</v>
      </c>
      <c r="Y95" s="5">
        <v>76.77</v>
      </c>
    </row>
    <row r="96" spans="1:25" ht="24.75" x14ac:dyDescent="0.25">
      <c r="A96" s="5" t="s">
        <v>26</v>
      </c>
      <c r="B96" s="5" t="s">
        <v>38</v>
      </c>
      <c r="C96" s="5" t="s">
        <v>49</v>
      </c>
      <c r="D96" s="5" t="s">
        <v>50</v>
      </c>
      <c r="E96" s="5" t="s">
        <v>39</v>
      </c>
      <c r="F96" s="5" t="s">
        <v>51</v>
      </c>
      <c r="G96" s="5">
        <v>2019</v>
      </c>
      <c r="H96" s="5" t="str">
        <f>CONCATENATE("94241063984")</f>
        <v>94241063984</v>
      </c>
      <c r="I96" s="5" t="s">
        <v>29</v>
      </c>
      <c r="J96" s="5" t="s">
        <v>30</v>
      </c>
      <c r="K96" s="5" t="str">
        <f>CONCATENATE("")</f>
        <v/>
      </c>
      <c r="L96" s="5" t="str">
        <f>CONCATENATE("14 14.1 3a")</f>
        <v>14 14.1 3a</v>
      </c>
      <c r="M96" s="5" t="str">
        <f>CONCATENATE("VTCGNN56H63A462M")</f>
        <v>VTCGNN56H63A462M</v>
      </c>
      <c r="N96" s="5" t="s">
        <v>181</v>
      </c>
      <c r="O96" s="5" t="s">
        <v>149</v>
      </c>
      <c r="P96" s="6">
        <v>43987</v>
      </c>
      <c r="Q96" s="5" t="s">
        <v>31</v>
      </c>
      <c r="R96" s="5" t="s">
        <v>32</v>
      </c>
      <c r="S96" s="5" t="s">
        <v>33</v>
      </c>
      <c r="T96" s="5"/>
      <c r="U96" s="5">
        <v>212.48</v>
      </c>
      <c r="V96" s="5">
        <v>91.62</v>
      </c>
      <c r="W96" s="5">
        <v>84.61</v>
      </c>
      <c r="X96" s="5">
        <v>0</v>
      </c>
      <c r="Y96" s="5">
        <v>36.25</v>
      </c>
    </row>
    <row r="97" spans="1:25" ht="24.75" x14ac:dyDescent="0.25">
      <c r="A97" s="5" t="s">
        <v>26</v>
      </c>
      <c r="B97" s="5" t="s">
        <v>38</v>
      </c>
      <c r="C97" s="5" t="s">
        <v>49</v>
      </c>
      <c r="D97" s="5" t="s">
        <v>50</v>
      </c>
      <c r="E97" s="5" t="s">
        <v>39</v>
      </c>
      <c r="F97" s="5" t="s">
        <v>182</v>
      </c>
      <c r="G97" s="5">
        <v>2019</v>
      </c>
      <c r="H97" s="5" t="str">
        <f>CONCATENATE("94240843758")</f>
        <v>94240843758</v>
      </c>
      <c r="I97" s="5" t="s">
        <v>29</v>
      </c>
      <c r="J97" s="5" t="s">
        <v>30</v>
      </c>
      <c r="K97" s="5" t="str">
        <f>CONCATENATE("")</f>
        <v/>
      </c>
      <c r="L97" s="5" t="str">
        <f>CONCATENATE("14 14.1 3a")</f>
        <v>14 14.1 3a</v>
      </c>
      <c r="M97" s="5" t="str">
        <f>CONCATENATE("02274900444")</f>
        <v>02274900444</v>
      </c>
      <c r="N97" s="5" t="s">
        <v>183</v>
      </c>
      <c r="O97" s="5" t="s">
        <v>149</v>
      </c>
      <c r="P97" s="6">
        <v>43987</v>
      </c>
      <c r="Q97" s="5" t="s">
        <v>31</v>
      </c>
      <c r="R97" s="5" t="s">
        <v>32</v>
      </c>
      <c r="S97" s="5" t="s">
        <v>33</v>
      </c>
      <c r="T97" s="5"/>
      <c r="U97" s="7">
        <v>1446</v>
      </c>
      <c r="V97" s="5">
        <v>623.52</v>
      </c>
      <c r="W97" s="5">
        <v>575.79999999999995</v>
      </c>
      <c r="X97" s="5">
        <v>0</v>
      </c>
      <c r="Y97" s="5">
        <v>246.68</v>
      </c>
    </row>
    <row r="98" spans="1:25" ht="24.75" x14ac:dyDescent="0.25">
      <c r="A98" s="5" t="s">
        <v>26</v>
      </c>
      <c r="B98" s="5" t="s">
        <v>38</v>
      </c>
      <c r="C98" s="5" t="s">
        <v>49</v>
      </c>
      <c r="D98" s="5" t="s">
        <v>50</v>
      </c>
      <c r="E98" s="5" t="s">
        <v>39</v>
      </c>
      <c r="F98" s="5" t="s">
        <v>66</v>
      </c>
      <c r="G98" s="5">
        <v>2019</v>
      </c>
      <c r="H98" s="5" t="str">
        <f>CONCATENATE("94240656960")</f>
        <v>94240656960</v>
      </c>
      <c r="I98" s="5" t="s">
        <v>29</v>
      </c>
      <c r="J98" s="5" t="s">
        <v>30</v>
      </c>
      <c r="K98" s="5" t="str">
        <f>CONCATENATE("")</f>
        <v/>
      </c>
      <c r="L98" s="5" t="str">
        <f>CONCATENATE("14 14.1 3a")</f>
        <v>14 14.1 3a</v>
      </c>
      <c r="M98" s="5" t="str">
        <f>CONCATENATE("PLMGRG61C01I315Y")</f>
        <v>PLMGRG61C01I315Y</v>
      </c>
      <c r="N98" s="5" t="s">
        <v>184</v>
      </c>
      <c r="O98" s="5" t="s">
        <v>149</v>
      </c>
      <c r="P98" s="6">
        <v>43987</v>
      </c>
      <c r="Q98" s="5" t="s">
        <v>31</v>
      </c>
      <c r="R98" s="5" t="s">
        <v>32</v>
      </c>
      <c r="S98" s="5" t="s">
        <v>33</v>
      </c>
      <c r="T98" s="5"/>
      <c r="U98" s="5">
        <v>504</v>
      </c>
      <c r="V98" s="5">
        <v>217.32</v>
      </c>
      <c r="W98" s="5">
        <v>200.69</v>
      </c>
      <c r="X98" s="5">
        <v>0</v>
      </c>
      <c r="Y98" s="5">
        <v>85.99</v>
      </c>
    </row>
    <row r="99" spans="1:25" ht="24.75" x14ac:dyDescent="0.25">
      <c r="A99" s="5" t="s">
        <v>26</v>
      </c>
      <c r="B99" s="5" t="s">
        <v>38</v>
      </c>
      <c r="C99" s="5" t="s">
        <v>49</v>
      </c>
      <c r="D99" s="5" t="s">
        <v>50</v>
      </c>
      <c r="E99" s="5" t="s">
        <v>39</v>
      </c>
      <c r="F99" s="5" t="s">
        <v>66</v>
      </c>
      <c r="G99" s="5">
        <v>2019</v>
      </c>
      <c r="H99" s="5" t="str">
        <f>CONCATENATE("94240713936")</f>
        <v>94240713936</v>
      </c>
      <c r="I99" s="5" t="s">
        <v>29</v>
      </c>
      <c r="J99" s="5" t="s">
        <v>30</v>
      </c>
      <c r="K99" s="5" t="str">
        <f>CONCATENATE("")</f>
        <v/>
      </c>
      <c r="L99" s="5" t="str">
        <f>CONCATENATE("14 14.1 3a")</f>
        <v>14 14.1 3a</v>
      </c>
      <c r="M99" s="5" t="str">
        <f>CONCATENATE("RSSFNC86H05A252F")</f>
        <v>RSSFNC86H05A252F</v>
      </c>
      <c r="N99" s="5" t="s">
        <v>185</v>
      </c>
      <c r="O99" s="5" t="s">
        <v>149</v>
      </c>
      <c r="P99" s="6">
        <v>43987</v>
      </c>
      <c r="Q99" s="5" t="s">
        <v>31</v>
      </c>
      <c r="R99" s="5" t="s">
        <v>32</v>
      </c>
      <c r="S99" s="5" t="s">
        <v>33</v>
      </c>
      <c r="T99" s="5"/>
      <c r="U99" s="7">
        <v>8208.7999999999993</v>
      </c>
      <c r="V99" s="7">
        <v>3539.63</v>
      </c>
      <c r="W99" s="7">
        <v>3268.74</v>
      </c>
      <c r="X99" s="5">
        <v>0</v>
      </c>
      <c r="Y99" s="7">
        <v>1400.43</v>
      </c>
    </row>
    <row r="100" spans="1:25" ht="24.75" x14ac:dyDescent="0.25">
      <c r="A100" s="5" t="s">
        <v>26</v>
      </c>
      <c r="B100" s="5" t="s">
        <v>38</v>
      </c>
      <c r="C100" s="5" t="s">
        <v>49</v>
      </c>
      <c r="D100" s="5" t="s">
        <v>50</v>
      </c>
      <c r="E100" s="5" t="s">
        <v>45</v>
      </c>
      <c r="F100" s="5" t="s">
        <v>62</v>
      </c>
      <c r="G100" s="5">
        <v>2019</v>
      </c>
      <c r="H100" s="5" t="str">
        <f>CONCATENATE("94240884679")</f>
        <v>94240884679</v>
      </c>
      <c r="I100" s="5" t="s">
        <v>29</v>
      </c>
      <c r="J100" s="5" t="s">
        <v>30</v>
      </c>
      <c r="K100" s="5" t="str">
        <f>CONCATENATE("")</f>
        <v/>
      </c>
      <c r="L100" s="5" t="str">
        <f>CONCATENATE("14 14.1 3a")</f>
        <v>14 14.1 3a</v>
      </c>
      <c r="M100" s="5" t="str">
        <f>CONCATENATE("LNRGPR81P23D542E")</f>
        <v>LNRGPR81P23D542E</v>
      </c>
      <c r="N100" s="5" t="s">
        <v>186</v>
      </c>
      <c r="O100" s="5" t="s">
        <v>149</v>
      </c>
      <c r="P100" s="6">
        <v>43987</v>
      </c>
      <c r="Q100" s="5" t="s">
        <v>31</v>
      </c>
      <c r="R100" s="5" t="s">
        <v>32</v>
      </c>
      <c r="S100" s="5" t="s">
        <v>33</v>
      </c>
      <c r="T100" s="5"/>
      <c r="U100" s="7">
        <v>1976</v>
      </c>
      <c r="V100" s="5">
        <v>852.05</v>
      </c>
      <c r="W100" s="5">
        <v>786.84</v>
      </c>
      <c r="X100" s="5">
        <v>0</v>
      </c>
      <c r="Y100" s="5">
        <v>337.11</v>
      </c>
    </row>
    <row r="101" spans="1:25" ht="24.75" x14ac:dyDescent="0.25">
      <c r="A101" s="5" t="s">
        <v>26</v>
      </c>
      <c r="B101" s="5" t="s">
        <v>38</v>
      </c>
      <c r="C101" s="5" t="s">
        <v>49</v>
      </c>
      <c r="D101" s="5" t="s">
        <v>50</v>
      </c>
      <c r="E101" s="5" t="s">
        <v>45</v>
      </c>
      <c r="F101" s="5" t="s">
        <v>62</v>
      </c>
      <c r="G101" s="5">
        <v>2019</v>
      </c>
      <c r="H101" s="5" t="str">
        <f>CONCATENATE("94241064586")</f>
        <v>94241064586</v>
      </c>
      <c r="I101" s="5" t="s">
        <v>29</v>
      </c>
      <c r="J101" s="5" t="s">
        <v>30</v>
      </c>
      <c r="K101" s="5" t="str">
        <f>CONCATENATE("")</f>
        <v/>
      </c>
      <c r="L101" s="5" t="str">
        <f>CONCATENATE("14 14.1 3a")</f>
        <v>14 14.1 3a</v>
      </c>
      <c r="M101" s="5" t="str">
        <f>CONCATENATE("LNRVTI55B07F570Z")</f>
        <v>LNRVTI55B07F570Z</v>
      </c>
      <c r="N101" s="5" t="s">
        <v>187</v>
      </c>
      <c r="O101" s="5" t="s">
        <v>149</v>
      </c>
      <c r="P101" s="6">
        <v>43987</v>
      </c>
      <c r="Q101" s="5" t="s">
        <v>31</v>
      </c>
      <c r="R101" s="5" t="s">
        <v>32</v>
      </c>
      <c r="S101" s="5" t="s">
        <v>33</v>
      </c>
      <c r="T101" s="5"/>
      <c r="U101" s="7">
        <v>3192</v>
      </c>
      <c r="V101" s="7">
        <v>1376.39</v>
      </c>
      <c r="W101" s="7">
        <v>1271.05</v>
      </c>
      <c r="X101" s="5">
        <v>0</v>
      </c>
      <c r="Y101" s="5">
        <v>544.55999999999995</v>
      </c>
    </row>
    <row r="102" spans="1:25" ht="24.75" x14ac:dyDescent="0.25">
      <c r="A102" s="5" t="s">
        <v>26</v>
      </c>
      <c r="B102" s="5" t="s">
        <v>38</v>
      </c>
      <c r="C102" s="5" t="s">
        <v>49</v>
      </c>
      <c r="D102" s="5" t="s">
        <v>50</v>
      </c>
      <c r="E102" s="5" t="s">
        <v>39</v>
      </c>
      <c r="F102" s="5" t="s">
        <v>66</v>
      </c>
      <c r="G102" s="5">
        <v>2019</v>
      </c>
      <c r="H102" s="5" t="str">
        <f>CONCATENATE("94240925498")</f>
        <v>94240925498</v>
      </c>
      <c r="I102" s="5" t="s">
        <v>29</v>
      </c>
      <c r="J102" s="5" t="s">
        <v>30</v>
      </c>
      <c r="K102" s="5" t="str">
        <f>CONCATENATE("")</f>
        <v/>
      </c>
      <c r="L102" s="5" t="str">
        <f>CONCATENATE("14 14.1 3a")</f>
        <v>14 14.1 3a</v>
      </c>
      <c r="M102" s="5" t="str">
        <f>CONCATENATE("CNLSLV81S56D542M")</f>
        <v>CNLSLV81S56D542M</v>
      </c>
      <c r="N102" s="5" t="s">
        <v>188</v>
      </c>
      <c r="O102" s="5" t="s">
        <v>149</v>
      </c>
      <c r="P102" s="6">
        <v>43987</v>
      </c>
      <c r="Q102" s="5" t="s">
        <v>31</v>
      </c>
      <c r="R102" s="5" t="s">
        <v>32</v>
      </c>
      <c r="S102" s="5" t="s">
        <v>33</v>
      </c>
      <c r="T102" s="5"/>
      <c r="U102" s="7">
        <v>2665.56</v>
      </c>
      <c r="V102" s="7">
        <v>1149.3900000000001</v>
      </c>
      <c r="W102" s="7">
        <v>1061.43</v>
      </c>
      <c r="X102" s="5">
        <v>0</v>
      </c>
      <c r="Y102" s="5">
        <v>454.74</v>
      </c>
    </row>
    <row r="103" spans="1:25" ht="24.75" x14ac:dyDescent="0.25">
      <c r="A103" s="5" t="s">
        <v>26</v>
      </c>
      <c r="B103" s="5" t="s">
        <v>38</v>
      </c>
      <c r="C103" s="5" t="s">
        <v>49</v>
      </c>
      <c r="D103" s="5" t="s">
        <v>50</v>
      </c>
      <c r="E103" s="5" t="s">
        <v>35</v>
      </c>
      <c r="F103" s="5" t="s">
        <v>128</v>
      </c>
      <c r="G103" s="5">
        <v>2019</v>
      </c>
      <c r="H103" s="5" t="str">
        <f>CONCATENATE("94241164865")</f>
        <v>94241164865</v>
      </c>
      <c r="I103" s="5" t="s">
        <v>29</v>
      </c>
      <c r="J103" s="5" t="s">
        <v>30</v>
      </c>
      <c r="K103" s="5" t="str">
        <f>CONCATENATE("")</f>
        <v/>
      </c>
      <c r="L103" s="5" t="str">
        <f>CONCATENATE("14 14.1 3a")</f>
        <v>14 14.1 3a</v>
      </c>
      <c r="M103" s="5" t="str">
        <f>CONCATENATE("CPRLNU73L69I324A")</f>
        <v>CPRLNU73L69I324A</v>
      </c>
      <c r="N103" s="5" t="s">
        <v>189</v>
      </c>
      <c r="O103" s="5" t="s">
        <v>149</v>
      </c>
      <c r="P103" s="6">
        <v>43987</v>
      </c>
      <c r="Q103" s="5" t="s">
        <v>31</v>
      </c>
      <c r="R103" s="5" t="s">
        <v>32</v>
      </c>
      <c r="S103" s="5" t="s">
        <v>33</v>
      </c>
      <c r="T103" s="5"/>
      <c r="U103" s="7">
        <v>3784.8</v>
      </c>
      <c r="V103" s="7">
        <v>1632.01</v>
      </c>
      <c r="W103" s="7">
        <v>1507.11</v>
      </c>
      <c r="X103" s="5">
        <v>0</v>
      </c>
      <c r="Y103" s="5">
        <v>645.67999999999995</v>
      </c>
    </row>
    <row r="104" spans="1:25" x14ac:dyDescent="0.25">
      <c r="A104" s="5" t="s">
        <v>26</v>
      </c>
      <c r="B104" s="5" t="s">
        <v>38</v>
      </c>
      <c r="C104" s="5" t="s">
        <v>49</v>
      </c>
      <c r="D104" s="5" t="s">
        <v>87</v>
      </c>
      <c r="E104" s="5" t="s">
        <v>39</v>
      </c>
      <c r="F104" s="5" t="s">
        <v>88</v>
      </c>
      <c r="G104" s="5">
        <v>2019</v>
      </c>
      <c r="H104" s="5" t="str">
        <f>CONCATENATE("94240072481")</f>
        <v>94240072481</v>
      </c>
      <c r="I104" s="5" t="s">
        <v>29</v>
      </c>
      <c r="J104" s="5" t="s">
        <v>30</v>
      </c>
      <c r="K104" s="5" t="str">
        <f>CONCATENATE("")</f>
        <v/>
      </c>
      <c r="L104" s="5" t="str">
        <f>CONCATENATE("14 14.1 3a")</f>
        <v>14 14.1 3a</v>
      </c>
      <c r="M104" s="5" t="str">
        <f>CONCATENATE("RLAMCR50S10G637S")</f>
        <v>RLAMCR50S10G637S</v>
      </c>
      <c r="N104" s="5" t="s">
        <v>190</v>
      </c>
      <c r="O104" s="5" t="s">
        <v>149</v>
      </c>
      <c r="P104" s="6">
        <v>43987</v>
      </c>
      <c r="Q104" s="5" t="s">
        <v>31</v>
      </c>
      <c r="R104" s="5" t="s">
        <v>32</v>
      </c>
      <c r="S104" s="5" t="s">
        <v>33</v>
      </c>
      <c r="T104" s="5"/>
      <c r="U104" s="7">
        <v>16800.939999999999</v>
      </c>
      <c r="V104" s="7">
        <v>7244.57</v>
      </c>
      <c r="W104" s="7">
        <v>6690.13</v>
      </c>
      <c r="X104" s="5">
        <v>0</v>
      </c>
      <c r="Y104" s="7">
        <v>2866.24</v>
      </c>
    </row>
    <row r="105" spans="1:25" ht="24.75" x14ac:dyDescent="0.25">
      <c r="A105" s="5" t="s">
        <v>26</v>
      </c>
      <c r="B105" s="5" t="s">
        <v>38</v>
      </c>
      <c r="C105" s="5" t="s">
        <v>49</v>
      </c>
      <c r="D105" s="5" t="s">
        <v>50</v>
      </c>
      <c r="E105" s="5" t="s">
        <v>42</v>
      </c>
      <c r="F105" s="5" t="s">
        <v>191</v>
      </c>
      <c r="G105" s="5">
        <v>2019</v>
      </c>
      <c r="H105" s="5" t="str">
        <f>CONCATENATE("94240947179")</f>
        <v>94240947179</v>
      </c>
      <c r="I105" s="5" t="s">
        <v>29</v>
      </c>
      <c r="J105" s="5" t="s">
        <v>30</v>
      </c>
      <c r="K105" s="5" t="str">
        <f>CONCATENATE("")</f>
        <v/>
      </c>
      <c r="L105" s="5" t="str">
        <f>CONCATENATE("14 14.1 3a")</f>
        <v>14 14.1 3a</v>
      </c>
      <c r="M105" s="5" t="str">
        <f>CONCATENATE("GLNMDE59A15L728Z")</f>
        <v>GLNMDE59A15L728Z</v>
      </c>
      <c r="N105" s="5" t="s">
        <v>192</v>
      </c>
      <c r="O105" s="5" t="s">
        <v>149</v>
      </c>
      <c r="P105" s="6">
        <v>43987</v>
      </c>
      <c r="Q105" s="5" t="s">
        <v>31</v>
      </c>
      <c r="R105" s="5" t="s">
        <v>32</v>
      </c>
      <c r="S105" s="5" t="s">
        <v>33</v>
      </c>
      <c r="T105" s="5"/>
      <c r="U105" s="7">
        <v>1178</v>
      </c>
      <c r="V105" s="5">
        <v>507.95</v>
      </c>
      <c r="W105" s="5">
        <v>469.08</v>
      </c>
      <c r="X105" s="5">
        <v>0</v>
      </c>
      <c r="Y105" s="5">
        <v>200.97</v>
      </c>
    </row>
    <row r="106" spans="1:25" ht="24.75" x14ac:dyDescent="0.25">
      <c r="A106" s="5" t="s">
        <v>26</v>
      </c>
      <c r="B106" s="5" t="s">
        <v>38</v>
      </c>
      <c r="C106" s="5" t="s">
        <v>49</v>
      </c>
      <c r="D106" s="5" t="s">
        <v>50</v>
      </c>
      <c r="E106" s="5" t="s">
        <v>39</v>
      </c>
      <c r="F106" s="5" t="s">
        <v>66</v>
      </c>
      <c r="G106" s="5">
        <v>2019</v>
      </c>
      <c r="H106" s="5" t="str">
        <f>CONCATENATE("94241090318")</f>
        <v>94241090318</v>
      </c>
      <c r="I106" s="5" t="s">
        <v>29</v>
      </c>
      <c r="J106" s="5" t="s">
        <v>30</v>
      </c>
      <c r="K106" s="5" t="str">
        <f>CONCATENATE("")</f>
        <v/>
      </c>
      <c r="L106" s="5" t="str">
        <f>CONCATENATE("14 14.1 3a")</f>
        <v>14 14.1 3a</v>
      </c>
      <c r="M106" s="5" t="str">
        <f>CONCATENATE("00344590443")</f>
        <v>00344590443</v>
      </c>
      <c r="N106" s="5" t="s">
        <v>193</v>
      </c>
      <c r="O106" s="5" t="s">
        <v>149</v>
      </c>
      <c r="P106" s="6">
        <v>43987</v>
      </c>
      <c r="Q106" s="5" t="s">
        <v>31</v>
      </c>
      <c r="R106" s="5" t="s">
        <v>32</v>
      </c>
      <c r="S106" s="5" t="s">
        <v>33</v>
      </c>
      <c r="T106" s="5"/>
      <c r="U106" s="7">
        <v>2266.46</v>
      </c>
      <c r="V106" s="5">
        <v>977.3</v>
      </c>
      <c r="W106" s="5">
        <v>902.5</v>
      </c>
      <c r="X106" s="5">
        <v>0</v>
      </c>
      <c r="Y106" s="5">
        <v>386.66</v>
      </c>
    </row>
    <row r="107" spans="1:25" x14ac:dyDescent="0.25">
      <c r="A107" s="5" t="s">
        <v>26</v>
      </c>
      <c r="B107" s="5" t="s">
        <v>38</v>
      </c>
      <c r="C107" s="5" t="s">
        <v>49</v>
      </c>
      <c r="D107" s="5" t="s">
        <v>87</v>
      </c>
      <c r="E107" s="5" t="s">
        <v>35</v>
      </c>
      <c r="F107" s="5" t="s">
        <v>91</v>
      </c>
      <c r="G107" s="5">
        <v>2019</v>
      </c>
      <c r="H107" s="5" t="str">
        <f>CONCATENATE("94240558281")</f>
        <v>94240558281</v>
      </c>
      <c r="I107" s="5" t="s">
        <v>29</v>
      </c>
      <c r="J107" s="5" t="s">
        <v>30</v>
      </c>
      <c r="K107" s="5" t="str">
        <f>CONCATENATE("")</f>
        <v/>
      </c>
      <c r="L107" s="5" t="str">
        <f>CONCATENATE("14 14.1 3a")</f>
        <v>14 14.1 3a</v>
      </c>
      <c r="M107" s="5" t="str">
        <f>CONCATENATE("NTLRRT80A14B474N")</f>
        <v>NTLRRT80A14B474N</v>
      </c>
      <c r="N107" s="5" t="s">
        <v>194</v>
      </c>
      <c r="O107" s="5" t="s">
        <v>178</v>
      </c>
      <c r="P107" s="6">
        <v>43987</v>
      </c>
      <c r="Q107" s="5" t="s">
        <v>31</v>
      </c>
      <c r="R107" s="5" t="s">
        <v>32</v>
      </c>
      <c r="S107" s="5" t="s">
        <v>33</v>
      </c>
      <c r="T107" s="5"/>
      <c r="U107" s="7">
        <v>33100</v>
      </c>
      <c r="V107" s="7">
        <v>14272.72</v>
      </c>
      <c r="W107" s="7">
        <v>13180.42</v>
      </c>
      <c r="X107" s="5">
        <v>0</v>
      </c>
      <c r="Y107" s="7">
        <v>5646.86</v>
      </c>
    </row>
    <row r="108" spans="1:25" x14ac:dyDescent="0.25">
      <c r="A108" s="5" t="s">
        <v>26</v>
      </c>
      <c r="B108" s="5" t="s">
        <v>38</v>
      </c>
      <c r="C108" s="5" t="s">
        <v>49</v>
      </c>
      <c r="D108" s="5" t="s">
        <v>87</v>
      </c>
      <c r="E108" s="5" t="s">
        <v>35</v>
      </c>
      <c r="F108" s="5" t="s">
        <v>91</v>
      </c>
      <c r="G108" s="5">
        <v>2018</v>
      </c>
      <c r="H108" s="5" t="str">
        <f>CONCATENATE("84240444079")</f>
        <v>84240444079</v>
      </c>
      <c r="I108" s="5" t="s">
        <v>29</v>
      </c>
      <c r="J108" s="5" t="s">
        <v>30</v>
      </c>
      <c r="K108" s="5" t="str">
        <f>CONCATENATE("")</f>
        <v/>
      </c>
      <c r="L108" s="5" t="str">
        <f>CONCATENATE("14 14.1 3a")</f>
        <v>14 14.1 3a</v>
      </c>
      <c r="M108" s="5" t="str">
        <f>CONCATENATE("NTLRRT80A14B474N")</f>
        <v>NTLRRT80A14B474N</v>
      </c>
      <c r="N108" s="5" t="s">
        <v>194</v>
      </c>
      <c r="O108" s="5" t="s">
        <v>178</v>
      </c>
      <c r="P108" s="6">
        <v>43987</v>
      </c>
      <c r="Q108" s="5" t="s">
        <v>31</v>
      </c>
      <c r="R108" s="5" t="s">
        <v>32</v>
      </c>
      <c r="S108" s="5" t="s">
        <v>33</v>
      </c>
      <c r="T108" s="5"/>
      <c r="U108" s="7">
        <v>5215</v>
      </c>
      <c r="V108" s="7">
        <v>2248.71</v>
      </c>
      <c r="W108" s="7">
        <v>2076.61</v>
      </c>
      <c r="X108" s="5">
        <v>0</v>
      </c>
      <c r="Y108" s="5">
        <v>889.68</v>
      </c>
    </row>
    <row r="109" spans="1:25" x14ac:dyDescent="0.25">
      <c r="A109" s="5" t="s">
        <v>26</v>
      </c>
      <c r="B109" s="5" t="s">
        <v>38</v>
      </c>
      <c r="C109" s="5" t="s">
        <v>49</v>
      </c>
      <c r="D109" s="5" t="s">
        <v>87</v>
      </c>
      <c r="E109" s="5" t="s">
        <v>39</v>
      </c>
      <c r="F109" s="5" t="s">
        <v>88</v>
      </c>
      <c r="G109" s="5">
        <v>2019</v>
      </c>
      <c r="H109" s="5" t="str">
        <f>CONCATENATE("94240245863")</f>
        <v>94240245863</v>
      </c>
      <c r="I109" s="5" t="s">
        <v>29</v>
      </c>
      <c r="J109" s="5" t="s">
        <v>30</v>
      </c>
      <c r="K109" s="5" t="str">
        <f>CONCATENATE("")</f>
        <v/>
      </c>
      <c r="L109" s="5" t="str">
        <f>CONCATENATE("14 14.1 3a")</f>
        <v>14 14.1 3a</v>
      </c>
      <c r="M109" s="5" t="str">
        <f>CONCATENATE("SBRLBR49L31B474W")</f>
        <v>SBRLBR49L31B474W</v>
      </c>
      <c r="N109" s="5" t="s">
        <v>195</v>
      </c>
      <c r="O109" s="5" t="s">
        <v>178</v>
      </c>
      <c r="P109" s="6">
        <v>43987</v>
      </c>
      <c r="Q109" s="5" t="s">
        <v>31</v>
      </c>
      <c r="R109" s="5" t="s">
        <v>32</v>
      </c>
      <c r="S109" s="5" t="s">
        <v>33</v>
      </c>
      <c r="T109" s="5"/>
      <c r="U109" s="7">
        <v>16351.4</v>
      </c>
      <c r="V109" s="7">
        <v>7050.72</v>
      </c>
      <c r="W109" s="7">
        <v>6511.13</v>
      </c>
      <c r="X109" s="5">
        <v>0</v>
      </c>
      <c r="Y109" s="7">
        <v>2789.55</v>
      </c>
    </row>
    <row r="110" spans="1:25" ht="24.75" x14ac:dyDescent="0.25">
      <c r="A110" s="5" t="s">
        <v>26</v>
      </c>
      <c r="B110" s="5" t="s">
        <v>27</v>
      </c>
      <c r="C110" s="5" t="s">
        <v>49</v>
      </c>
      <c r="D110" s="5" t="s">
        <v>58</v>
      </c>
      <c r="E110" s="5" t="s">
        <v>34</v>
      </c>
      <c r="F110" s="5" t="s">
        <v>196</v>
      </c>
      <c r="G110" s="5">
        <v>2017</v>
      </c>
      <c r="H110" s="5" t="str">
        <f>CONCATENATE("94270174058")</f>
        <v>94270174058</v>
      </c>
      <c r="I110" s="5" t="s">
        <v>29</v>
      </c>
      <c r="J110" s="5" t="s">
        <v>30</v>
      </c>
      <c r="K110" s="5" t="str">
        <f>CONCATENATE("")</f>
        <v/>
      </c>
      <c r="L110" s="5" t="str">
        <f>CONCATENATE("8 8.3 5e")</f>
        <v>8 8.3 5e</v>
      </c>
      <c r="M110" s="5" t="str">
        <f>CONCATENATE("01300420427")</f>
        <v>01300420427</v>
      </c>
      <c r="N110" s="5" t="s">
        <v>197</v>
      </c>
      <c r="O110" s="5" t="s">
        <v>198</v>
      </c>
      <c r="P110" s="6">
        <v>43987</v>
      </c>
      <c r="Q110" s="5" t="s">
        <v>31</v>
      </c>
      <c r="R110" s="5" t="s">
        <v>32</v>
      </c>
      <c r="S110" s="5" t="s">
        <v>33</v>
      </c>
      <c r="T110" s="5"/>
      <c r="U110" s="7">
        <v>229165.55</v>
      </c>
      <c r="V110" s="7">
        <v>98816.19</v>
      </c>
      <c r="W110" s="7">
        <v>91253.72</v>
      </c>
      <c r="X110" s="5">
        <v>0</v>
      </c>
      <c r="Y110" s="7">
        <v>39095.64</v>
      </c>
    </row>
    <row r="111" spans="1:25" ht="24.75" x14ac:dyDescent="0.25">
      <c r="A111" s="5" t="s">
        <v>26</v>
      </c>
      <c r="B111" s="5" t="s">
        <v>27</v>
      </c>
      <c r="C111" s="5" t="s">
        <v>49</v>
      </c>
      <c r="D111" s="5" t="s">
        <v>58</v>
      </c>
      <c r="E111" s="5" t="s">
        <v>34</v>
      </c>
      <c r="F111" s="5" t="s">
        <v>196</v>
      </c>
      <c r="G111" s="5">
        <v>2017</v>
      </c>
      <c r="H111" s="5" t="str">
        <f>CONCATENATE("94270174041")</f>
        <v>94270174041</v>
      </c>
      <c r="I111" s="5" t="s">
        <v>29</v>
      </c>
      <c r="J111" s="5" t="s">
        <v>30</v>
      </c>
      <c r="K111" s="5" t="str">
        <f>CONCATENATE("")</f>
        <v/>
      </c>
      <c r="L111" s="5" t="str">
        <f>CONCATENATE("8 8.3 5e")</f>
        <v>8 8.3 5e</v>
      </c>
      <c r="M111" s="5" t="str">
        <f>CONCATENATE("01300420427")</f>
        <v>01300420427</v>
      </c>
      <c r="N111" s="5" t="s">
        <v>197</v>
      </c>
      <c r="O111" s="5" t="s">
        <v>198</v>
      </c>
      <c r="P111" s="6">
        <v>43987</v>
      </c>
      <c r="Q111" s="5" t="s">
        <v>31</v>
      </c>
      <c r="R111" s="5" t="s">
        <v>32</v>
      </c>
      <c r="S111" s="5" t="s">
        <v>33</v>
      </c>
      <c r="T111" s="5"/>
      <c r="U111" s="7">
        <v>145950.79</v>
      </c>
      <c r="V111" s="7">
        <v>62933.98</v>
      </c>
      <c r="W111" s="7">
        <v>58117.599999999999</v>
      </c>
      <c r="X111" s="5">
        <v>0</v>
      </c>
      <c r="Y111" s="7">
        <v>24899.21</v>
      </c>
    </row>
    <row r="112" spans="1:25" ht="24.75" x14ac:dyDescent="0.25">
      <c r="A112" s="5" t="s">
        <v>26</v>
      </c>
      <c r="B112" s="5" t="s">
        <v>38</v>
      </c>
      <c r="C112" s="5" t="s">
        <v>49</v>
      </c>
      <c r="D112" s="5" t="s">
        <v>50</v>
      </c>
      <c r="E112" s="5" t="s">
        <v>39</v>
      </c>
      <c r="F112" s="5" t="s">
        <v>66</v>
      </c>
      <c r="G112" s="5">
        <v>2017</v>
      </c>
      <c r="H112" s="5" t="str">
        <f>CONCATENATE("74240525852")</f>
        <v>74240525852</v>
      </c>
      <c r="I112" s="5" t="s">
        <v>29</v>
      </c>
      <c r="J112" s="5" t="s">
        <v>30</v>
      </c>
      <c r="K112" s="5" t="str">
        <f>CONCATENATE("")</f>
        <v/>
      </c>
      <c r="L112" s="5" t="str">
        <f>CONCATENATE("10 10.1 4b")</f>
        <v>10 10.1 4b</v>
      </c>
      <c r="M112" s="5" t="str">
        <f>CONCATENATE("MSTCHR92E55G388U")</f>
        <v>MSTCHR92E55G388U</v>
      </c>
      <c r="N112" s="5" t="s">
        <v>199</v>
      </c>
      <c r="O112" s="5" t="s">
        <v>157</v>
      </c>
      <c r="P112" s="6">
        <v>43987</v>
      </c>
      <c r="Q112" s="5" t="s">
        <v>31</v>
      </c>
      <c r="R112" s="5" t="s">
        <v>32</v>
      </c>
      <c r="S112" s="5" t="s">
        <v>33</v>
      </c>
      <c r="T112" s="5"/>
      <c r="U112" s="7">
        <v>3856.87</v>
      </c>
      <c r="V112" s="7">
        <v>1663.08</v>
      </c>
      <c r="W112" s="7">
        <v>1535.81</v>
      </c>
      <c r="X112" s="5">
        <v>0</v>
      </c>
      <c r="Y112" s="5">
        <v>657.98</v>
      </c>
    </row>
    <row r="113" spans="1:25" ht="24.75" x14ac:dyDescent="0.25">
      <c r="A113" s="5" t="s">
        <v>26</v>
      </c>
      <c r="B113" s="5" t="s">
        <v>38</v>
      </c>
      <c r="C113" s="5" t="s">
        <v>49</v>
      </c>
      <c r="D113" s="5" t="s">
        <v>50</v>
      </c>
      <c r="E113" s="5" t="s">
        <v>39</v>
      </c>
      <c r="F113" s="5" t="s">
        <v>66</v>
      </c>
      <c r="G113" s="5">
        <v>2018</v>
      </c>
      <c r="H113" s="5" t="str">
        <f>CONCATENATE("84240662720")</f>
        <v>84240662720</v>
      </c>
      <c r="I113" s="5" t="s">
        <v>29</v>
      </c>
      <c r="J113" s="5" t="s">
        <v>30</v>
      </c>
      <c r="K113" s="5" t="str">
        <f>CONCATENATE("")</f>
        <v/>
      </c>
      <c r="L113" s="5" t="str">
        <f>CONCATENATE("10 10.1 4b")</f>
        <v>10 10.1 4b</v>
      </c>
      <c r="M113" s="5" t="str">
        <f>CONCATENATE("MSTCHR92E55G388U")</f>
        <v>MSTCHR92E55G388U</v>
      </c>
      <c r="N113" s="5" t="s">
        <v>199</v>
      </c>
      <c r="O113" s="5" t="s">
        <v>157</v>
      </c>
      <c r="P113" s="6">
        <v>43987</v>
      </c>
      <c r="Q113" s="5" t="s">
        <v>31</v>
      </c>
      <c r="R113" s="5" t="s">
        <v>32</v>
      </c>
      <c r="S113" s="5" t="s">
        <v>33</v>
      </c>
      <c r="T113" s="5"/>
      <c r="U113" s="7">
        <v>4969.71</v>
      </c>
      <c r="V113" s="7">
        <v>2142.94</v>
      </c>
      <c r="W113" s="7">
        <v>1978.94</v>
      </c>
      <c r="X113" s="5">
        <v>0</v>
      </c>
      <c r="Y113" s="5">
        <v>847.83</v>
      </c>
    </row>
    <row r="114" spans="1:25" ht="24.75" x14ac:dyDescent="0.25">
      <c r="A114" s="5" t="s">
        <v>26</v>
      </c>
      <c r="B114" s="5" t="s">
        <v>38</v>
      </c>
      <c r="C114" s="5" t="s">
        <v>49</v>
      </c>
      <c r="D114" s="5" t="s">
        <v>54</v>
      </c>
      <c r="E114" s="5" t="s">
        <v>39</v>
      </c>
      <c r="F114" s="5" t="s">
        <v>200</v>
      </c>
      <c r="G114" s="5">
        <v>2018</v>
      </c>
      <c r="H114" s="5" t="str">
        <f>CONCATENATE("84241023757")</f>
        <v>84241023757</v>
      </c>
      <c r="I114" s="5" t="s">
        <v>29</v>
      </c>
      <c r="J114" s="5" t="s">
        <v>30</v>
      </c>
      <c r="K114" s="5" t="str">
        <f>CONCATENATE("")</f>
        <v/>
      </c>
      <c r="L114" s="5" t="str">
        <f>CONCATENATE("10 10.1 4a")</f>
        <v>10 10.1 4a</v>
      </c>
      <c r="M114" s="5" t="str">
        <f>CONCATENATE("RSSFCM85H28E388E")</f>
        <v>RSSFCM85H28E388E</v>
      </c>
      <c r="N114" s="5" t="s">
        <v>201</v>
      </c>
      <c r="O114" s="5" t="s">
        <v>202</v>
      </c>
      <c r="P114" s="6">
        <v>43987</v>
      </c>
      <c r="Q114" s="5" t="s">
        <v>31</v>
      </c>
      <c r="R114" s="5" t="s">
        <v>32</v>
      </c>
      <c r="S114" s="5" t="s">
        <v>33</v>
      </c>
      <c r="T114" s="5"/>
      <c r="U114" s="5">
        <v>231.76</v>
      </c>
      <c r="V114" s="5">
        <v>99.93</v>
      </c>
      <c r="W114" s="5">
        <v>92.29</v>
      </c>
      <c r="X114" s="5">
        <v>0</v>
      </c>
      <c r="Y114" s="5">
        <v>39.54</v>
      </c>
    </row>
    <row r="115" spans="1:25" ht="24.75" x14ac:dyDescent="0.25">
      <c r="A115" s="5" t="s">
        <v>26</v>
      </c>
      <c r="B115" s="5" t="s">
        <v>38</v>
      </c>
      <c r="C115" s="5" t="s">
        <v>49</v>
      </c>
      <c r="D115" s="5" t="s">
        <v>54</v>
      </c>
      <c r="E115" s="5" t="s">
        <v>39</v>
      </c>
      <c r="F115" s="5" t="s">
        <v>200</v>
      </c>
      <c r="G115" s="5">
        <v>2019</v>
      </c>
      <c r="H115" s="5" t="str">
        <f>CONCATENATE("94240100464")</f>
        <v>94240100464</v>
      </c>
      <c r="I115" s="5" t="s">
        <v>29</v>
      </c>
      <c r="J115" s="5" t="s">
        <v>30</v>
      </c>
      <c r="K115" s="5" t="str">
        <f>CONCATENATE("")</f>
        <v/>
      </c>
      <c r="L115" s="5" t="str">
        <f>CONCATENATE("10 10.1 4a")</f>
        <v>10 10.1 4a</v>
      </c>
      <c r="M115" s="5" t="str">
        <f>CONCATENATE("RSSFCM85H28E388E")</f>
        <v>RSSFCM85H28E388E</v>
      </c>
      <c r="N115" s="5" t="s">
        <v>201</v>
      </c>
      <c r="O115" s="5" t="s">
        <v>202</v>
      </c>
      <c r="P115" s="6">
        <v>43987</v>
      </c>
      <c r="Q115" s="5" t="s">
        <v>31</v>
      </c>
      <c r="R115" s="5" t="s">
        <v>32</v>
      </c>
      <c r="S115" s="5" t="s">
        <v>33</v>
      </c>
      <c r="T115" s="5"/>
      <c r="U115" s="5">
        <v>230.76</v>
      </c>
      <c r="V115" s="5">
        <v>99.5</v>
      </c>
      <c r="W115" s="5">
        <v>91.89</v>
      </c>
      <c r="X115" s="5">
        <v>0</v>
      </c>
      <c r="Y115" s="5">
        <v>39.369999999999997</v>
      </c>
    </row>
    <row r="116" spans="1:25" ht="24.75" x14ac:dyDescent="0.25">
      <c r="A116" s="5" t="s">
        <v>26</v>
      </c>
      <c r="B116" s="5" t="s">
        <v>38</v>
      </c>
      <c r="C116" s="5" t="s">
        <v>49</v>
      </c>
      <c r="D116" s="5" t="s">
        <v>54</v>
      </c>
      <c r="E116" s="5" t="s">
        <v>34</v>
      </c>
      <c r="F116" s="5" t="s">
        <v>203</v>
      </c>
      <c r="G116" s="5">
        <v>2019</v>
      </c>
      <c r="H116" s="5" t="str">
        <f>CONCATENATE("94240123912")</f>
        <v>94240123912</v>
      </c>
      <c r="I116" s="5" t="s">
        <v>29</v>
      </c>
      <c r="J116" s="5" t="s">
        <v>30</v>
      </c>
      <c r="K116" s="5" t="str">
        <f>CONCATENATE("")</f>
        <v/>
      </c>
      <c r="L116" s="5" t="str">
        <f>CONCATENATE("10 10.1 4a")</f>
        <v>10 10.1 4a</v>
      </c>
      <c r="M116" s="5" t="str">
        <f>CONCATENATE("02761500426")</f>
        <v>02761500426</v>
      </c>
      <c r="N116" s="5" t="s">
        <v>204</v>
      </c>
      <c r="O116" s="5" t="s">
        <v>202</v>
      </c>
      <c r="P116" s="6">
        <v>43987</v>
      </c>
      <c r="Q116" s="5" t="s">
        <v>31</v>
      </c>
      <c r="R116" s="5" t="s">
        <v>32</v>
      </c>
      <c r="S116" s="5" t="s">
        <v>33</v>
      </c>
      <c r="T116" s="5"/>
      <c r="U116" s="5">
        <v>147.24</v>
      </c>
      <c r="V116" s="5">
        <v>63.49</v>
      </c>
      <c r="W116" s="5">
        <v>58.63</v>
      </c>
      <c r="X116" s="5">
        <v>0</v>
      </c>
      <c r="Y116" s="5">
        <v>25.12</v>
      </c>
    </row>
    <row r="117" spans="1:25" ht="24.75" x14ac:dyDescent="0.25">
      <c r="A117" s="5" t="s">
        <v>26</v>
      </c>
      <c r="B117" s="5" t="s">
        <v>38</v>
      </c>
      <c r="C117" s="5" t="s">
        <v>49</v>
      </c>
      <c r="D117" s="5" t="s">
        <v>54</v>
      </c>
      <c r="E117" s="5" t="s">
        <v>34</v>
      </c>
      <c r="F117" s="5" t="s">
        <v>203</v>
      </c>
      <c r="G117" s="5">
        <v>2018</v>
      </c>
      <c r="H117" s="5" t="str">
        <f>CONCATENATE("84240631667")</f>
        <v>84240631667</v>
      </c>
      <c r="I117" s="5" t="s">
        <v>29</v>
      </c>
      <c r="J117" s="5" t="s">
        <v>30</v>
      </c>
      <c r="K117" s="5" t="str">
        <f>CONCATENATE("")</f>
        <v/>
      </c>
      <c r="L117" s="5" t="str">
        <f>CONCATENATE("10 10.1 4a")</f>
        <v>10 10.1 4a</v>
      </c>
      <c r="M117" s="5" t="str">
        <f>CONCATENATE("02761500426")</f>
        <v>02761500426</v>
      </c>
      <c r="N117" s="5" t="s">
        <v>204</v>
      </c>
      <c r="O117" s="5" t="s">
        <v>202</v>
      </c>
      <c r="P117" s="6">
        <v>43987</v>
      </c>
      <c r="Q117" s="5" t="s">
        <v>31</v>
      </c>
      <c r="R117" s="5" t="s">
        <v>32</v>
      </c>
      <c r="S117" s="5" t="s">
        <v>33</v>
      </c>
      <c r="T117" s="5"/>
      <c r="U117" s="5">
        <v>147.24</v>
      </c>
      <c r="V117" s="5">
        <v>63.49</v>
      </c>
      <c r="W117" s="5">
        <v>58.63</v>
      </c>
      <c r="X117" s="5">
        <v>0</v>
      </c>
      <c r="Y117" s="5">
        <v>25.12</v>
      </c>
    </row>
    <row r="118" spans="1:25" ht="24.75" x14ac:dyDescent="0.25">
      <c r="A118" s="5" t="s">
        <v>26</v>
      </c>
      <c r="B118" s="5" t="s">
        <v>38</v>
      </c>
      <c r="C118" s="5" t="s">
        <v>49</v>
      </c>
      <c r="D118" s="5" t="s">
        <v>54</v>
      </c>
      <c r="E118" s="5" t="s">
        <v>34</v>
      </c>
      <c r="F118" s="5" t="s">
        <v>203</v>
      </c>
      <c r="G118" s="5">
        <v>2019</v>
      </c>
      <c r="H118" s="5" t="str">
        <f>CONCATENATE("94240435944")</f>
        <v>94240435944</v>
      </c>
      <c r="I118" s="5" t="s">
        <v>29</v>
      </c>
      <c r="J118" s="5" t="s">
        <v>30</v>
      </c>
      <c r="K118" s="5" t="str">
        <f>CONCATENATE("")</f>
        <v/>
      </c>
      <c r="L118" s="5" t="str">
        <f>CONCATENATE("10 10.1 4a")</f>
        <v>10 10.1 4a</v>
      </c>
      <c r="M118" s="5" t="str">
        <f>CONCATENATE("02761500426")</f>
        <v>02761500426</v>
      </c>
      <c r="N118" s="5" t="s">
        <v>204</v>
      </c>
      <c r="O118" s="5" t="s">
        <v>202</v>
      </c>
      <c r="P118" s="6">
        <v>43987</v>
      </c>
      <c r="Q118" s="5" t="s">
        <v>31</v>
      </c>
      <c r="R118" s="5" t="s">
        <v>32</v>
      </c>
      <c r="S118" s="5" t="s">
        <v>33</v>
      </c>
      <c r="T118" s="5"/>
      <c r="U118" s="5">
        <v>247.56</v>
      </c>
      <c r="V118" s="5">
        <v>106.75</v>
      </c>
      <c r="W118" s="5">
        <v>98.58</v>
      </c>
      <c r="X118" s="5">
        <v>0</v>
      </c>
      <c r="Y118" s="5">
        <v>42.23</v>
      </c>
    </row>
    <row r="119" spans="1:25" ht="24.75" x14ac:dyDescent="0.25">
      <c r="A119" s="5" t="s">
        <v>26</v>
      </c>
      <c r="B119" s="5" t="s">
        <v>38</v>
      </c>
      <c r="C119" s="5" t="s">
        <v>49</v>
      </c>
      <c r="D119" s="5" t="s">
        <v>50</v>
      </c>
      <c r="E119" s="5" t="s">
        <v>44</v>
      </c>
      <c r="F119" s="5" t="s">
        <v>205</v>
      </c>
      <c r="G119" s="5">
        <v>2018</v>
      </c>
      <c r="H119" s="5" t="str">
        <f>CONCATENATE("84241676455")</f>
        <v>84241676455</v>
      </c>
      <c r="I119" s="5" t="s">
        <v>29</v>
      </c>
      <c r="J119" s="5" t="s">
        <v>30</v>
      </c>
      <c r="K119" s="5" t="str">
        <f>CONCATENATE("")</f>
        <v/>
      </c>
      <c r="L119" s="5" t="str">
        <f>CONCATENATE("11 11.2 4b")</f>
        <v>11 11.2 4b</v>
      </c>
      <c r="M119" s="5" t="str">
        <f>CONCATENATE("CRRCST87A16H769B")</f>
        <v>CRRCST87A16H769B</v>
      </c>
      <c r="N119" s="5" t="s">
        <v>206</v>
      </c>
      <c r="O119" s="5" t="s">
        <v>207</v>
      </c>
      <c r="P119" s="6">
        <v>43987</v>
      </c>
      <c r="Q119" s="5" t="s">
        <v>31</v>
      </c>
      <c r="R119" s="5" t="s">
        <v>32</v>
      </c>
      <c r="S119" s="5" t="s">
        <v>33</v>
      </c>
      <c r="T119" s="5"/>
      <c r="U119" s="7">
        <v>14939.49</v>
      </c>
      <c r="V119" s="7">
        <v>6441.91</v>
      </c>
      <c r="W119" s="7">
        <v>5948.9</v>
      </c>
      <c r="X119" s="5">
        <v>0</v>
      </c>
      <c r="Y119" s="7">
        <v>2548.6799999999998</v>
      </c>
    </row>
    <row r="120" spans="1:25" ht="24.75" x14ac:dyDescent="0.25">
      <c r="A120" s="5" t="s">
        <v>26</v>
      </c>
      <c r="B120" s="5" t="s">
        <v>38</v>
      </c>
      <c r="C120" s="5" t="s">
        <v>49</v>
      </c>
      <c r="D120" s="5" t="s">
        <v>50</v>
      </c>
      <c r="E120" s="5" t="s">
        <v>44</v>
      </c>
      <c r="F120" s="5" t="s">
        <v>205</v>
      </c>
      <c r="G120" s="5">
        <v>2018</v>
      </c>
      <c r="H120" s="5" t="str">
        <f>CONCATENATE("84241678766")</f>
        <v>84241678766</v>
      </c>
      <c r="I120" s="5" t="s">
        <v>29</v>
      </c>
      <c r="J120" s="5" t="s">
        <v>30</v>
      </c>
      <c r="K120" s="5" t="str">
        <f>CONCATENATE("")</f>
        <v/>
      </c>
      <c r="L120" s="5" t="str">
        <f>CONCATENATE("11 11.2 4b")</f>
        <v>11 11.2 4b</v>
      </c>
      <c r="M120" s="5" t="str">
        <f>CONCATENATE("CRRCST87A16H769B")</f>
        <v>CRRCST87A16H769B</v>
      </c>
      <c r="N120" s="5" t="s">
        <v>206</v>
      </c>
      <c r="O120" s="5" t="s">
        <v>207</v>
      </c>
      <c r="P120" s="6">
        <v>43987</v>
      </c>
      <c r="Q120" s="5" t="s">
        <v>31</v>
      </c>
      <c r="R120" s="5" t="s">
        <v>32</v>
      </c>
      <c r="S120" s="5" t="s">
        <v>33</v>
      </c>
      <c r="T120" s="5"/>
      <c r="U120" s="7">
        <v>1633.47</v>
      </c>
      <c r="V120" s="5">
        <v>704.35</v>
      </c>
      <c r="W120" s="5">
        <v>650.45000000000005</v>
      </c>
      <c r="X120" s="5">
        <v>0</v>
      </c>
      <c r="Y120" s="5">
        <v>278.67</v>
      </c>
    </row>
    <row r="121" spans="1:25" ht="24.75" x14ac:dyDescent="0.25">
      <c r="A121" s="5" t="s">
        <v>26</v>
      </c>
      <c r="B121" s="5" t="s">
        <v>38</v>
      </c>
      <c r="C121" s="5" t="s">
        <v>49</v>
      </c>
      <c r="D121" s="5" t="s">
        <v>50</v>
      </c>
      <c r="E121" s="5" t="s">
        <v>36</v>
      </c>
      <c r="F121" s="5" t="s">
        <v>36</v>
      </c>
      <c r="G121" s="5">
        <v>2019</v>
      </c>
      <c r="H121" s="5" t="str">
        <f>CONCATENATE("94240972755")</f>
        <v>94240972755</v>
      </c>
      <c r="I121" s="5" t="s">
        <v>41</v>
      </c>
      <c r="J121" s="5" t="s">
        <v>30</v>
      </c>
      <c r="K121" s="5" t="str">
        <f>CONCATENATE("")</f>
        <v/>
      </c>
      <c r="L121" s="5" t="str">
        <f>CONCATENATE("11 11.2 4b")</f>
        <v>11 11.2 4b</v>
      </c>
      <c r="M121" s="5" t="str">
        <f>CONCATENATE("01005070444")</f>
        <v>01005070444</v>
      </c>
      <c r="N121" s="5" t="s">
        <v>208</v>
      </c>
      <c r="O121" s="5" t="s">
        <v>207</v>
      </c>
      <c r="P121" s="6">
        <v>43987</v>
      </c>
      <c r="Q121" s="5" t="s">
        <v>31</v>
      </c>
      <c r="R121" s="5" t="s">
        <v>32</v>
      </c>
      <c r="S121" s="5" t="s">
        <v>33</v>
      </c>
      <c r="T121" s="5"/>
      <c r="U121" s="5">
        <v>6.81</v>
      </c>
      <c r="V121" s="5">
        <v>2.94</v>
      </c>
      <c r="W121" s="5">
        <v>2.71</v>
      </c>
      <c r="X121" s="5">
        <v>0</v>
      </c>
      <c r="Y121" s="5">
        <v>1.1599999999999999</v>
      </c>
    </row>
    <row r="122" spans="1:25" ht="24.75" x14ac:dyDescent="0.25">
      <c r="A122" s="5" t="s">
        <v>26</v>
      </c>
      <c r="B122" s="5" t="s">
        <v>38</v>
      </c>
      <c r="C122" s="5" t="s">
        <v>49</v>
      </c>
      <c r="D122" s="5" t="s">
        <v>58</v>
      </c>
      <c r="E122" s="5" t="s">
        <v>39</v>
      </c>
      <c r="F122" s="5" t="s">
        <v>209</v>
      </c>
      <c r="G122" s="5">
        <v>2019</v>
      </c>
      <c r="H122" s="5" t="str">
        <f>CONCATENATE("94240176183")</f>
        <v>94240176183</v>
      </c>
      <c r="I122" s="5" t="s">
        <v>29</v>
      </c>
      <c r="J122" s="5" t="s">
        <v>30</v>
      </c>
      <c r="K122" s="5" t="str">
        <f>CONCATENATE("")</f>
        <v/>
      </c>
      <c r="L122" s="5" t="str">
        <f>CONCATENATE("11 11.2 4b")</f>
        <v>11 11.2 4b</v>
      </c>
      <c r="M122" s="5" t="str">
        <f>CONCATENATE("00349040394")</f>
        <v>00349040394</v>
      </c>
      <c r="N122" s="5" t="s">
        <v>210</v>
      </c>
      <c r="O122" s="5" t="s">
        <v>207</v>
      </c>
      <c r="P122" s="6">
        <v>43987</v>
      </c>
      <c r="Q122" s="5" t="s">
        <v>31</v>
      </c>
      <c r="R122" s="5" t="s">
        <v>32</v>
      </c>
      <c r="S122" s="5" t="s">
        <v>33</v>
      </c>
      <c r="T122" s="5"/>
      <c r="U122" s="7">
        <v>15536.76</v>
      </c>
      <c r="V122" s="7">
        <v>6699.45</v>
      </c>
      <c r="W122" s="7">
        <v>6186.74</v>
      </c>
      <c r="X122" s="5">
        <v>0</v>
      </c>
      <c r="Y122" s="7">
        <v>2650.57</v>
      </c>
    </row>
    <row r="123" spans="1:25" ht="24.75" x14ac:dyDescent="0.25">
      <c r="A123" s="5" t="s">
        <v>26</v>
      </c>
      <c r="B123" s="5" t="s">
        <v>38</v>
      </c>
      <c r="C123" s="5" t="s">
        <v>49</v>
      </c>
      <c r="D123" s="5" t="s">
        <v>50</v>
      </c>
      <c r="E123" s="5" t="s">
        <v>44</v>
      </c>
      <c r="F123" s="5" t="s">
        <v>205</v>
      </c>
      <c r="G123" s="5">
        <v>2019</v>
      </c>
      <c r="H123" s="5" t="str">
        <f>CONCATENATE("94241086183")</f>
        <v>94241086183</v>
      </c>
      <c r="I123" s="5" t="s">
        <v>29</v>
      </c>
      <c r="J123" s="5" t="s">
        <v>30</v>
      </c>
      <c r="K123" s="5" t="str">
        <f>CONCATENATE("")</f>
        <v/>
      </c>
      <c r="L123" s="5" t="str">
        <f>CONCATENATE("11 11.2 4b")</f>
        <v>11 11.2 4b</v>
      </c>
      <c r="M123" s="5" t="str">
        <f>CONCATENATE("CRRCST87A16H769B")</f>
        <v>CRRCST87A16H769B</v>
      </c>
      <c r="N123" s="5" t="s">
        <v>206</v>
      </c>
      <c r="O123" s="5" t="s">
        <v>207</v>
      </c>
      <c r="P123" s="6">
        <v>43987</v>
      </c>
      <c r="Q123" s="5" t="s">
        <v>31</v>
      </c>
      <c r="R123" s="5" t="s">
        <v>32</v>
      </c>
      <c r="S123" s="5" t="s">
        <v>33</v>
      </c>
      <c r="T123" s="5"/>
      <c r="U123" s="7">
        <v>2040.88</v>
      </c>
      <c r="V123" s="5">
        <v>880.03</v>
      </c>
      <c r="W123" s="5">
        <v>812.68</v>
      </c>
      <c r="X123" s="5">
        <v>0</v>
      </c>
      <c r="Y123" s="5">
        <v>348.17</v>
      </c>
    </row>
    <row r="124" spans="1:25" ht="24.75" x14ac:dyDescent="0.25">
      <c r="A124" s="5" t="s">
        <v>26</v>
      </c>
      <c r="B124" s="5" t="s">
        <v>38</v>
      </c>
      <c r="C124" s="5" t="s">
        <v>49</v>
      </c>
      <c r="D124" s="5" t="s">
        <v>54</v>
      </c>
      <c r="E124" s="5" t="s">
        <v>34</v>
      </c>
      <c r="F124" s="5" t="s">
        <v>211</v>
      </c>
      <c r="G124" s="5">
        <v>2019</v>
      </c>
      <c r="H124" s="5" t="str">
        <f>CONCATENATE("94240829377")</f>
        <v>94240829377</v>
      </c>
      <c r="I124" s="5" t="s">
        <v>29</v>
      </c>
      <c r="J124" s="5" t="s">
        <v>30</v>
      </c>
      <c r="K124" s="5" t="str">
        <f>CONCATENATE("")</f>
        <v/>
      </c>
      <c r="L124" s="5" t="str">
        <f>CONCATENATE("11 11.2 4b")</f>
        <v>11 11.2 4b</v>
      </c>
      <c r="M124" s="5" t="str">
        <f>CONCATENATE("BSSGDI83R56E388J")</f>
        <v>BSSGDI83R56E388J</v>
      </c>
      <c r="N124" s="5" t="s">
        <v>212</v>
      </c>
      <c r="O124" s="5" t="s">
        <v>207</v>
      </c>
      <c r="P124" s="6">
        <v>43987</v>
      </c>
      <c r="Q124" s="5" t="s">
        <v>31</v>
      </c>
      <c r="R124" s="5" t="s">
        <v>32</v>
      </c>
      <c r="S124" s="5" t="s">
        <v>33</v>
      </c>
      <c r="T124" s="5"/>
      <c r="U124" s="7">
        <v>29034.41</v>
      </c>
      <c r="V124" s="7">
        <v>12519.64</v>
      </c>
      <c r="W124" s="7">
        <v>11561.5</v>
      </c>
      <c r="X124" s="5">
        <v>0</v>
      </c>
      <c r="Y124" s="7">
        <v>4953.2700000000004</v>
      </c>
    </row>
    <row r="125" spans="1:25" x14ac:dyDescent="0.25">
      <c r="A125" s="5" t="s">
        <v>26</v>
      </c>
      <c r="B125" s="5" t="s">
        <v>38</v>
      </c>
      <c r="C125" s="5" t="s">
        <v>49</v>
      </c>
      <c r="D125" s="5" t="s">
        <v>87</v>
      </c>
      <c r="E125" s="5" t="s">
        <v>39</v>
      </c>
      <c r="F125" s="5" t="s">
        <v>143</v>
      </c>
      <c r="G125" s="5">
        <v>2016</v>
      </c>
      <c r="H125" s="5" t="str">
        <f>CONCATENATE("64240316428")</f>
        <v>64240316428</v>
      </c>
      <c r="I125" s="5" t="s">
        <v>29</v>
      </c>
      <c r="J125" s="5" t="s">
        <v>30</v>
      </c>
      <c r="K125" s="5" t="str">
        <f>CONCATENATE("")</f>
        <v/>
      </c>
      <c r="L125" s="5" t="str">
        <f>CONCATENATE("11 11.2 4b")</f>
        <v>11 11.2 4b</v>
      </c>
      <c r="M125" s="5" t="str">
        <f>CONCATENATE("BCCNDR74C16I436R")</f>
        <v>BCCNDR74C16I436R</v>
      </c>
      <c r="N125" s="5" t="s">
        <v>213</v>
      </c>
      <c r="O125" s="5" t="s">
        <v>207</v>
      </c>
      <c r="P125" s="6">
        <v>43987</v>
      </c>
      <c r="Q125" s="5" t="s">
        <v>31</v>
      </c>
      <c r="R125" s="5" t="s">
        <v>32</v>
      </c>
      <c r="S125" s="5" t="s">
        <v>33</v>
      </c>
      <c r="T125" s="5"/>
      <c r="U125" s="7">
        <v>2053.79</v>
      </c>
      <c r="V125" s="5">
        <v>885.59</v>
      </c>
      <c r="W125" s="5">
        <v>817.82</v>
      </c>
      <c r="X125" s="5">
        <v>0</v>
      </c>
      <c r="Y125" s="5">
        <v>350.38</v>
      </c>
    </row>
    <row r="126" spans="1:25" ht="24.75" x14ac:dyDescent="0.25">
      <c r="A126" s="5" t="s">
        <v>26</v>
      </c>
      <c r="B126" s="5" t="s">
        <v>38</v>
      </c>
      <c r="C126" s="5" t="s">
        <v>49</v>
      </c>
      <c r="D126" s="5" t="s">
        <v>87</v>
      </c>
      <c r="E126" s="5" t="s">
        <v>35</v>
      </c>
      <c r="F126" s="5" t="s">
        <v>214</v>
      </c>
      <c r="G126" s="5">
        <v>2019</v>
      </c>
      <c r="H126" s="5" t="str">
        <f>CONCATENATE("94241695967")</f>
        <v>94241695967</v>
      </c>
      <c r="I126" s="5" t="s">
        <v>29</v>
      </c>
      <c r="J126" s="5" t="s">
        <v>30</v>
      </c>
      <c r="K126" s="5" t="str">
        <f>CONCATENATE("")</f>
        <v/>
      </c>
      <c r="L126" s="5" t="str">
        <f>CONCATENATE("11 11.2 4b")</f>
        <v>11 11.2 4b</v>
      </c>
      <c r="M126" s="5" t="str">
        <f>CONCATENATE("00121480438")</f>
        <v>00121480438</v>
      </c>
      <c r="N126" s="5" t="s">
        <v>215</v>
      </c>
      <c r="O126" s="5" t="s">
        <v>207</v>
      </c>
      <c r="P126" s="6">
        <v>43987</v>
      </c>
      <c r="Q126" s="5" t="s">
        <v>31</v>
      </c>
      <c r="R126" s="5" t="s">
        <v>32</v>
      </c>
      <c r="S126" s="5" t="s">
        <v>33</v>
      </c>
      <c r="T126" s="5"/>
      <c r="U126" s="7">
        <v>5486.19</v>
      </c>
      <c r="V126" s="7">
        <v>2365.65</v>
      </c>
      <c r="W126" s="7">
        <v>2184.6</v>
      </c>
      <c r="X126" s="5">
        <v>0</v>
      </c>
      <c r="Y126" s="5">
        <v>935.94</v>
      </c>
    </row>
    <row r="127" spans="1:25" x14ac:dyDescent="0.25">
      <c r="A127" s="5" t="s">
        <v>26</v>
      </c>
      <c r="B127" s="5" t="s">
        <v>38</v>
      </c>
      <c r="C127" s="5" t="s">
        <v>49</v>
      </c>
      <c r="D127" s="5" t="s">
        <v>87</v>
      </c>
      <c r="E127" s="5" t="s">
        <v>39</v>
      </c>
      <c r="F127" s="5" t="s">
        <v>143</v>
      </c>
      <c r="G127" s="5">
        <v>2017</v>
      </c>
      <c r="H127" s="5" t="str">
        <f>CONCATENATE("74240721592")</f>
        <v>74240721592</v>
      </c>
      <c r="I127" s="5" t="s">
        <v>29</v>
      </c>
      <c r="J127" s="5" t="s">
        <v>30</v>
      </c>
      <c r="K127" s="5" t="str">
        <f>CONCATENATE("")</f>
        <v/>
      </c>
      <c r="L127" s="5" t="str">
        <f>CONCATENATE("11 11.2 4b")</f>
        <v>11 11.2 4b</v>
      </c>
      <c r="M127" s="5" t="str">
        <f>CONCATENATE("BCCNDR74C16I436R")</f>
        <v>BCCNDR74C16I436R</v>
      </c>
      <c r="N127" s="5" t="s">
        <v>213</v>
      </c>
      <c r="O127" s="5" t="s">
        <v>207</v>
      </c>
      <c r="P127" s="6">
        <v>43987</v>
      </c>
      <c r="Q127" s="5" t="s">
        <v>31</v>
      </c>
      <c r="R127" s="5" t="s">
        <v>32</v>
      </c>
      <c r="S127" s="5" t="s">
        <v>33</v>
      </c>
      <c r="T127" s="5"/>
      <c r="U127" s="7">
        <v>17407.82</v>
      </c>
      <c r="V127" s="7">
        <v>7506.25</v>
      </c>
      <c r="W127" s="7">
        <v>6931.79</v>
      </c>
      <c r="X127" s="5">
        <v>0</v>
      </c>
      <c r="Y127" s="7">
        <v>2969.78</v>
      </c>
    </row>
    <row r="128" spans="1:25" ht="24.75" x14ac:dyDescent="0.25">
      <c r="A128" s="5" t="s">
        <v>26</v>
      </c>
      <c r="B128" s="5" t="s">
        <v>38</v>
      </c>
      <c r="C128" s="5" t="s">
        <v>49</v>
      </c>
      <c r="D128" s="5" t="s">
        <v>58</v>
      </c>
      <c r="E128" s="5" t="s">
        <v>34</v>
      </c>
      <c r="F128" s="5" t="s">
        <v>216</v>
      </c>
      <c r="G128" s="5">
        <v>2019</v>
      </c>
      <c r="H128" s="5" t="str">
        <f>CONCATENATE("94240037146")</f>
        <v>94240037146</v>
      </c>
      <c r="I128" s="5" t="s">
        <v>29</v>
      </c>
      <c r="J128" s="5" t="s">
        <v>30</v>
      </c>
      <c r="K128" s="5" t="str">
        <f>CONCATENATE("")</f>
        <v/>
      </c>
      <c r="L128" s="5" t="str">
        <f>CONCATENATE("11 11.1 4b")</f>
        <v>11 11.1 4b</v>
      </c>
      <c r="M128" s="5" t="str">
        <f>CONCATENATE("BLDNDR51M21G551J")</f>
        <v>BLDNDR51M21G551J</v>
      </c>
      <c r="N128" s="5" t="s">
        <v>217</v>
      </c>
      <c r="O128" s="5" t="s">
        <v>207</v>
      </c>
      <c r="P128" s="6">
        <v>43987</v>
      </c>
      <c r="Q128" s="5" t="s">
        <v>31</v>
      </c>
      <c r="R128" s="5" t="s">
        <v>32</v>
      </c>
      <c r="S128" s="5" t="s">
        <v>33</v>
      </c>
      <c r="T128" s="5"/>
      <c r="U128" s="5">
        <v>374.33</v>
      </c>
      <c r="V128" s="5">
        <v>161.41</v>
      </c>
      <c r="W128" s="5">
        <v>149.06</v>
      </c>
      <c r="X128" s="5">
        <v>0</v>
      </c>
      <c r="Y128" s="5">
        <v>63.86</v>
      </c>
    </row>
    <row r="129" spans="1:25" x14ac:dyDescent="0.25">
      <c r="A129" s="5" t="s">
        <v>26</v>
      </c>
      <c r="B129" s="5" t="s">
        <v>38</v>
      </c>
      <c r="C129" s="5" t="s">
        <v>49</v>
      </c>
      <c r="D129" s="5" t="s">
        <v>87</v>
      </c>
      <c r="E129" s="5" t="s">
        <v>34</v>
      </c>
      <c r="F129" s="5" t="s">
        <v>218</v>
      </c>
      <c r="G129" s="5">
        <v>2019</v>
      </c>
      <c r="H129" s="5" t="str">
        <f>CONCATENATE("94240972367")</f>
        <v>94240972367</v>
      </c>
      <c r="I129" s="5" t="s">
        <v>29</v>
      </c>
      <c r="J129" s="5" t="s">
        <v>30</v>
      </c>
      <c r="K129" s="5" t="str">
        <f>CONCATENATE("")</f>
        <v/>
      </c>
      <c r="L129" s="5" t="str">
        <f>CONCATENATE("11 11.2 4b")</f>
        <v>11 11.2 4b</v>
      </c>
      <c r="M129" s="5" t="str">
        <f>CONCATENATE("MRBMLL71M55G436T")</f>
        <v>MRBMLL71M55G436T</v>
      </c>
      <c r="N129" s="5" t="s">
        <v>219</v>
      </c>
      <c r="O129" s="5" t="s">
        <v>207</v>
      </c>
      <c r="P129" s="6">
        <v>43987</v>
      </c>
      <c r="Q129" s="5" t="s">
        <v>31</v>
      </c>
      <c r="R129" s="5" t="s">
        <v>32</v>
      </c>
      <c r="S129" s="5" t="s">
        <v>33</v>
      </c>
      <c r="T129" s="5"/>
      <c r="U129" s="5">
        <v>487.56</v>
      </c>
      <c r="V129" s="5">
        <v>210.24</v>
      </c>
      <c r="W129" s="5">
        <v>194.15</v>
      </c>
      <c r="X129" s="5">
        <v>0</v>
      </c>
      <c r="Y129" s="5">
        <v>83.17</v>
      </c>
    </row>
    <row r="130" spans="1:25" ht="24.75" x14ac:dyDescent="0.25">
      <c r="A130" s="5" t="s">
        <v>26</v>
      </c>
      <c r="B130" s="5" t="s">
        <v>38</v>
      </c>
      <c r="C130" s="5" t="s">
        <v>49</v>
      </c>
      <c r="D130" s="5" t="s">
        <v>50</v>
      </c>
      <c r="E130" s="5" t="s">
        <v>36</v>
      </c>
      <c r="F130" s="5" t="s">
        <v>36</v>
      </c>
      <c r="G130" s="5">
        <v>2019</v>
      </c>
      <c r="H130" s="5" t="str">
        <f>CONCATENATE("94240968027")</f>
        <v>94240968027</v>
      </c>
      <c r="I130" s="5" t="s">
        <v>41</v>
      </c>
      <c r="J130" s="5" t="s">
        <v>30</v>
      </c>
      <c r="K130" s="5" t="str">
        <f>CONCATENATE("")</f>
        <v/>
      </c>
      <c r="L130" s="5" t="str">
        <f>CONCATENATE("11 11.2 4b")</f>
        <v>11 11.2 4b</v>
      </c>
      <c r="M130" s="5" t="str">
        <f>CONCATENATE("01005070444")</f>
        <v>01005070444</v>
      </c>
      <c r="N130" s="5" t="s">
        <v>208</v>
      </c>
      <c r="O130" s="5" t="s">
        <v>207</v>
      </c>
      <c r="P130" s="6">
        <v>43987</v>
      </c>
      <c r="Q130" s="5" t="s">
        <v>31</v>
      </c>
      <c r="R130" s="5" t="s">
        <v>32</v>
      </c>
      <c r="S130" s="5" t="s">
        <v>33</v>
      </c>
      <c r="T130" s="5"/>
      <c r="U130" s="5">
        <v>82.49</v>
      </c>
      <c r="V130" s="5">
        <v>35.57</v>
      </c>
      <c r="W130" s="5">
        <v>32.85</v>
      </c>
      <c r="X130" s="5">
        <v>0</v>
      </c>
      <c r="Y130" s="5">
        <v>14.07</v>
      </c>
    </row>
    <row r="131" spans="1:25" ht="24.75" x14ac:dyDescent="0.25">
      <c r="A131" s="5" t="s">
        <v>26</v>
      </c>
      <c r="B131" s="5" t="s">
        <v>38</v>
      </c>
      <c r="C131" s="5" t="s">
        <v>49</v>
      </c>
      <c r="D131" s="5" t="s">
        <v>87</v>
      </c>
      <c r="E131" s="5" t="s">
        <v>45</v>
      </c>
      <c r="F131" s="5" t="s">
        <v>121</v>
      </c>
      <c r="G131" s="5">
        <v>2017</v>
      </c>
      <c r="H131" s="5" t="str">
        <f>CONCATENATE("74240404405")</f>
        <v>74240404405</v>
      </c>
      <c r="I131" s="5" t="s">
        <v>29</v>
      </c>
      <c r="J131" s="5" t="s">
        <v>30</v>
      </c>
      <c r="K131" s="5" t="str">
        <f>CONCATENATE("")</f>
        <v/>
      </c>
      <c r="L131" s="5" t="str">
        <f>CONCATENATE("11 11.2 4b")</f>
        <v>11 11.2 4b</v>
      </c>
      <c r="M131" s="5" t="str">
        <f>CONCATENATE("00811080431")</f>
        <v>00811080431</v>
      </c>
      <c r="N131" s="5" t="s">
        <v>220</v>
      </c>
      <c r="O131" s="5" t="s">
        <v>207</v>
      </c>
      <c r="P131" s="6">
        <v>43987</v>
      </c>
      <c r="Q131" s="5" t="s">
        <v>31</v>
      </c>
      <c r="R131" s="5" t="s">
        <v>32</v>
      </c>
      <c r="S131" s="5" t="s">
        <v>33</v>
      </c>
      <c r="T131" s="5"/>
      <c r="U131" s="7">
        <v>10593.87</v>
      </c>
      <c r="V131" s="7">
        <v>4568.08</v>
      </c>
      <c r="W131" s="7">
        <v>4218.4799999999996</v>
      </c>
      <c r="X131" s="5">
        <v>0</v>
      </c>
      <c r="Y131" s="7">
        <v>1807.31</v>
      </c>
    </row>
    <row r="132" spans="1:25" ht="24.75" x14ac:dyDescent="0.25">
      <c r="A132" s="5" t="s">
        <v>26</v>
      </c>
      <c r="B132" s="5" t="s">
        <v>38</v>
      </c>
      <c r="C132" s="5" t="s">
        <v>49</v>
      </c>
      <c r="D132" s="5" t="s">
        <v>50</v>
      </c>
      <c r="E132" s="5" t="s">
        <v>34</v>
      </c>
      <c r="F132" s="5" t="s">
        <v>151</v>
      </c>
      <c r="G132" s="5">
        <v>2019</v>
      </c>
      <c r="H132" s="5" t="str">
        <f>CONCATENATE("94241057069")</f>
        <v>94241057069</v>
      </c>
      <c r="I132" s="5" t="s">
        <v>29</v>
      </c>
      <c r="J132" s="5" t="s">
        <v>30</v>
      </c>
      <c r="K132" s="5" t="str">
        <f>CONCATENATE("")</f>
        <v/>
      </c>
      <c r="L132" s="5" t="str">
        <f>CONCATENATE("11 11.2 4b")</f>
        <v>11 11.2 4b</v>
      </c>
      <c r="M132" s="5" t="str">
        <f>CONCATENATE("RNLMRC78H25A462U")</f>
        <v>RNLMRC78H25A462U</v>
      </c>
      <c r="N132" s="5" t="s">
        <v>152</v>
      </c>
      <c r="O132" s="5" t="s">
        <v>207</v>
      </c>
      <c r="P132" s="6">
        <v>43987</v>
      </c>
      <c r="Q132" s="5" t="s">
        <v>31</v>
      </c>
      <c r="R132" s="5" t="s">
        <v>32</v>
      </c>
      <c r="S132" s="5" t="s">
        <v>33</v>
      </c>
      <c r="T132" s="5"/>
      <c r="U132" s="7">
        <v>8433.25</v>
      </c>
      <c r="V132" s="7">
        <v>3636.42</v>
      </c>
      <c r="W132" s="7">
        <v>3358.12</v>
      </c>
      <c r="X132" s="5">
        <v>0</v>
      </c>
      <c r="Y132" s="7">
        <v>1438.71</v>
      </c>
    </row>
    <row r="133" spans="1:25" ht="24.75" x14ac:dyDescent="0.25">
      <c r="A133" s="5" t="s">
        <v>26</v>
      </c>
      <c r="B133" s="5" t="s">
        <v>38</v>
      </c>
      <c r="C133" s="5" t="s">
        <v>49</v>
      </c>
      <c r="D133" s="5" t="s">
        <v>54</v>
      </c>
      <c r="E133" s="5" t="s">
        <v>34</v>
      </c>
      <c r="F133" s="5" t="s">
        <v>55</v>
      </c>
      <c r="G133" s="5">
        <v>2019</v>
      </c>
      <c r="H133" s="5" t="str">
        <f>CONCATENATE("94240274046")</f>
        <v>94240274046</v>
      </c>
      <c r="I133" s="5" t="s">
        <v>29</v>
      </c>
      <c r="J133" s="5" t="s">
        <v>30</v>
      </c>
      <c r="K133" s="5" t="str">
        <f>CONCATENATE("")</f>
        <v/>
      </c>
      <c r="L133" s="5" t="str">
        <f>CONCATENATE("11 11.2 4b")</f>
        <v>11 11.2 4b</v>
      </c>
      <c r="M133" s="5" t="str">
        <f>CONCATENATE("BDTLSN70M28I608V")</f>
        <v>BDTLSN70M28I608V</v>
      </c>
      <c r="N133" s="5" t="s">
        <v>61</v>
      </c>
      <c r="O133" s="5" t="s">
        <v>207</v>
      </c>
      <c r="P133" s="6">
        <v>43987</v>
      </c>
      <c r="Q133" s="5" t="s">
        <v>31</v>
      </c>
      <c r="R133" s="5" t="s">
        <v>32</v>
      </c>
      <c r="S133" s="5" t="s">
        <v>33</v>
      </c>
      <c r="T133" s="5"/>
      <c r="U133" s="5">
        <v>317.63</v>
      </c>
      <c r="V133" s="5">
        <v>136.96</v>
      </c>
      <c r="W133" s="5">
        <v>126.48</v>
      </c>
      <c r="X133" s="5">
        <v>0</v>
      </c>
      <c r="Y133" s="5">
        <v>54.19</v>
      </c>
    </row>
    <row r="134" spans="1:25" ht="24.75" x14ac:dyDescent="0.25">
      <c r="A134" s="5" t="s">
        <v>26</v>
      </c>
      <c r="B134" s="5" t="s">
        <v>38</v>
      </c>
      <c r="C134" s="5" t="s">
        <v>49</v>
      </c>
      <c r="D134" s="5" t="s">
        <v>54</v>
      </c>
      <c r="E134" s="5" t="s">
        <v>39</v>
      </c>
      <c r="F134" s="5" t="s">
        <v>221</v>
      </c>
      <c r="G134" s="5">
        <v>2019</v>
      </c>
      <c r="H134" s="5" t="str">
        <f>CONCATENATE("94240791072")</f>
        <v>94240791072</v>
      </c>
      <c r="I134" s="5" t="s">
        <v>29</v>
      </c>
      <c r="J134" s="5" t="s">
        <v>30</v>
      </c>
      <c r="K134" s="5" t="str">
        <f>CONCATENATE("")</f>
        <v/>
      </c>
      <c r="L134" s="5" t="str">
        <f>CONCATENATE("11 11.2 4b")</f>
        <v>11 11.2 4b</v>
      </c>
      <c r="M134" s="5" t="str">
        <f>CONCATENATE("02359650427")</f>
        <v>02359650427</v>
      </c>
      <c r="N134" s="5" t="s">
        <v>222</v>
      </c>
      <c r="O134" s="5" t="s">
        <v>207</v>
      </c>
      <c r="P134" s="6">
        <v>43987</v>
      </c>
      <c r="Q134" s="5" t="s">
        <v>31</v>
      </c>
      <c r="R134" s="5" t="s">
        <v>32</v>
      </c>
      <c r="S134" s="5" t="s">
        <v>33</v>
      </c>
      <c r="T134" s="5"/>
      <c r="U134" s="5">
        <v>209.99</v>
      </c>
      <c r="V134" s="5">
        <v>90.55</v>
      </c>
      <c r="W134" s="5">
        <v>83.62</v>
      </c>
      <c r="X134" s="5">
        <v>0</v>
      </c>
      <c r="Y134" s="5">
        <v>35.82</v>
      </c>
    </row>
    <row r="135" spans="1:25" ht="24.75" x14ac:dyDescent="0.25">
      <c r="A135" s="5" t="s">
        <v>26</v>
      </c>
      <c r="B135" s="5" t="s">
        <v>38</v>
      </c>
      <c r="C135" s="5" t="s">
        <v>49</v>
      </c>
      <c r="D135" s="5" t="s">
        <v>50</v>
      </c>
      <c r="E135" s="5" t="s">
        <v>43</v>
      </c>
      <c r="F135" s="5" t="s">
        <v>166</v>
      </c>
      <c r="G135" s="5">
        <v>2019</v>
      </c>
      <c r="H135" s="5" t="str">
        <f>CONCATENATE("94241045791")</f>
        <v>94241045791</v>
      </c>
      <c r="I135" s="5" t="s">
        <v>29</v>
      </c>
      <c r="J135" s="5" t="s">
        <v>30</v>
      </c>
      <c r="K135" s="5" t="str">
        <f>CONCATENATE("")</f>
        <v/>
      </c>
      <c r="L135" s="5" t="str">
        <f>CONCATENATE("11 11.1 4b")</f>
        <v>11 11.1 4b</v>
      </c>
      <c r="M135" s="5" t="str">
        <f>CONCATENATE("FRACST76C42Z129T")</f>
        <v>FRACST76C42Z129T</v>
      </c>
      <c r="N135" s="5" t="s">
        <v>223</v>
      </c>
      <c r="O135" s="5" t="s">
        <v>207</v>
      </c>
      <c r="P135" s="6">
        <v>43987</v>
      </c>
      <c r="Q135" s="5" t="s">
        <v>31</v>
      </c>
      <c r="R135" s="5" t="s">
        <v>32</v>
      </c>
      <c r="S135" s="5" t="s">
        <v>33</v>
      </c>
      <c r="T135" s="5"/>
      <c r="U135" s="5">
        <v>931.38</v>
      </c>
      <c r="V135" s="5">
        <v>401.61</v>
      </c>
      <c r="W135" s="5">
        <v>370.88</v>
      </c>
      <c r="X135" s="5">
        <v>0</v>
      </c>
      <c r="Y135" s="5">
        <v>158.88999999999999</v>
      </c>
    </row>
    <row r="136" spans="1:25" ht="24.75" x14ac:dyDescent="0.25">
      <c r="A136" s="5" t="s">
        <v>26</v>
      </c>
      <c r="B136" s="5" t="s">
        <v>38</v>
      </c>
      <c r="C136" s="5" t="s">
        <v>49</v>
      </c>
      <c r="D136" s="5" t="s">
        <v>50</v>
      </c>
      <c r="E136" s="5" t="s">
        <v>36</v>
      </c>
      <c r="F136" s="5" t="s">
        <v>36</v>
      </c>
      <c r="G136" s="5">
        <v>2018</v>
      </c>
      <c r="H136" s="5" t="str">
        <f>CONCATENATE("84241066194")</f>
        <v>84241066194</v>
      </c>
      <c r="I136" s="5" t="s">
        <v>29</v>
      </c>
      <c r="J136" s="5" t="s">
        <v>30</v>
      </c>
      <c r="K136" s="5" t="str">
        <f>CONCATENATE("")</f>
        <v/>
      </c>
      <c r="L136" s="5" t="str">
        <f>CONCATENATE("11 11.1 4b")</f>
        <v>11 11.1 4b</v>
      </c>
      <c r="M136" s="5" t="str">
        <f>CONCATENATE("FLCSFN67C54F520F")</f>
        <v>FLCSFN67C54F520F</v>
      </c>
      <c r="N136" s="5" t="s">
        <v>224</v>
      </c>
      <c r="O136" s="5" t="s">
        <v>207</v>
      </c>
      <c r="P136" s="6">
        <v>43987</v>
      </c>
      <c r="Q136" s="5" t="s">
        <v>31</v>
      </c>
      <c r="R136" s="5" t="s">
        <v>32</v>
      </c>
      <c r="S136" s="5" t="s">
        <v>33</v>
      </c>
      <c r="T136" s="5"/>
      <c r="U136" s="7">
        <v>4243.5600000000004</v>
      </c>
      <c r="V136" s="7">
        <v>1829.82</v>
      </c>
      <c r="W136" s="7">
        <v>1689.79</v>
      </c>
      <c r="X136" s="5">
        <v>0</v>
      </c>
      <c r="Y136" s="5">
        <v>723.95</v>
      </c>
    </row>
    <row r="137" spans="1:25" ht="24.75" x14ac:dyDescent="0.25">
      <c r="A137" s="5" t="s">
        <v>26</v>
      </c>
      <c r="B137" s="5" t="s">
        <v>38</v>
      </c>
      <c r="C137" s="5" t="s">
        <v>49</v>
      </c>
      <c r="D137" s="5" t="s">
        <v>54</v>
      </c>
      <c r="E137" s="5" t="s">
        <v>34</v>
      </c>
      <c r="F137" s="5" t="s">
        <v>203</v>
      </c>
      <c r="G137" s="5">
        <v>2018</v>
      </c>
      <c r="H137" s="5" t="str">
        <f>CONCATENATE("84240637821")</f>
        <v>84240637821</v>
      </c>
      <c r="I137" s="5" t="s">
        <v>29</v>
      </c>
      <c r="J137" s="5" t="s">
        <v>30</v>
      </c>
      <c r="K137" s="5" t="str">
        <f>CONCATENATE("")</f>
        <v/>
      </c>
      <c r="L137" s="5" t="str">
        <f>CONCATENATE("10 10.1 4a")</f>
        <v>10 10.1 4a</v>
      </c>
      <c r="M137" s="5" t="str">
        <f>CONCATENATE("SLTRRT58B19Z120W")</f>
        <v>SLTRRT58B19Z120W</v>
      </c>
      <c r="N137" s="5" t="s">
        <v>225</v>
      </c>
      <c r="O137" s="5" t="s">
        <v>202</v>
      </c>
      <c r="P137" s="6">
        <v>43987</v>
      </c>
      <c r="Q137" s="5" t="s">
        <v>31</v>
      </c>
      <c r="R137" s="5" t="s">
        <v>32</v>
      </c>
      <c r="S137" s="5" t="s">
        <v>33</v>
      </c>
      <c r="T137" s="5"/>
      <c r="U137" s="5">
        <v>226.6</v>
      </c>
      <c r="V137" s="5">
        <v>97.71</v>
      </c>
      <c r="W137" s="5">
        <v>90.23</v>
      </c>
      <c r="X137" s="5">
        <v>0</v>
      </c>
      <c r="Y137" s="5">
        <v>38.659999999999997</v>
      </c>
    </row>
    <row r="138" spans="1:25" ht="24.75" x14ac:dyDescent="0.25">
      <c r="A138" s="5" t="s">
        <v>26</v>
      </c>
      <c r="B138" s="5" t="s">
        <v>38</v>
      </c>
      <c r="C138" s="5" t="s">
        <v>49</v>
      </c>
      <c r="D138" s="5" t="s">
        <v>54</v>
      </c>
      <c r="E138" s="5" t="s">
        <v>34</v>
      </c>
      <c r="F138" s="5" t="s">
        <v>203</v>
      </c>
      <c r="G138" s="5">
        <v>2019</v>
      </c>
      <c r="H138" s="5" t="str">
        <f>CONCATENATE("94240008493")</f>
        <v>94240008493</v>
      </c>
      <c r="I138" s="5" t="s">
        <v>29</v>
      </c>
      <c r="J138" s="5" t="s">
        <v>30</v>
      </c>
      <c r="K138" s="5" t="str">
        <f>CONCATENATE("")</f>
        <v/>
      </c>
      <c r="L138" s="5" t="str">
        <f>CONCATENATE("10 10.1 4a")</f>
        <v>10 10.1 4a</v>
      </c>
      <c r="M138" s="5" t="str">
        <f>CONCATENATE("SLTRRT58B19Z120W")</f>
        <v>SLTRRT58B19Z120W</v>
      </c>
      <c r="N138" s="5" t="s">
        <v>225</v>
      </c>
      <c r="O138" s="5" t="s">
        <v>202</v>
      </c>
      <c r="P138" s="6">
        <v>43987</v>
      </c>
      <c r="Q138" s="5" t="s">
        <v>31</v>
      </c>
      <c r="R138" s="5" t="s">
        <v>32</v>
      </c>
      <c r="S138" s="5" t="s">
        <v>33</v>
      </c>
      <c r="T138" s="5"/>
      <c r="U138" s="5">
        <v>226.6</v>
      </c>
      <c r="V138" s="5">
        <v>97.71</v>
      </c>
      <c r="W138" s="5">
        <v>90.23</v>
      </c>
      <c r="X138" s="5">
        <v>0</v>
      </c>
      <c r="Y138" s="5">
        <v>38.659999999999997</v>
      </c>
    </row>
    <row r="139" spans="1:25" ht="24.75" x14ac:dyDescent="0.25">
      <c r="A139" s="5" t="s">
        <v>26</v>
      </c>
      <c r="B139" s="5" t="s">
        <v>38</v>
      </c>
      <c r="C139" s="5" t="s">
        <v>49</v>
      </c>
      <c r="D139" s="5" t="s">
        <v>50</v>
      </c>
      <c r="E139" s="5" t="s">
        <v>36</v>
      </c>
      <c r="F139" s="5" t="s">
        <v>36</v>
      </c>
      <c r="G139" s="5">
        <v>2019</v>
      </c>
      <c r="H139" s="5" t="str">
        <f>CONCATENATE("94240924681")</f>
        <v>94240924681</v>
      </c>
      <c r="I139" s="5" t="s">
        <v>29</v>
      </c>
      <c r="J139" s="5" t="s">
        <v>30</v>
      </c>
      <c r="K139" s="5" t="str">
        <f>CONCATENATE("")</f>
        <v/>
      </c>
      <c r="L139" s="5" t="str">
        <f>CONCATENATE("11 11.1 4b")</f>
        <v>11 11.1 4b</v>
      </c>
      <c r="M139" s="5" t="str">
        <f>CONCATENATE("CCTSFN61S60L279O")</f>
        <v>CCTSFN61S60L279O</v>
      </c>
      <c r="N139" s="5" t="s">
        <v>226</v>
      </c>
      <c r="O139" s="5" t="s">
        <v>207</v>
      </c>
      <c r="P139" s="6">
        <v>43987</v>
      </c>
      <c r="Q139" s="5" t="s">
        <v>31</v>
      </c>
      <c r="R139" s="5" t="s">
        <v>32</v>
      </c>
      <c r="S139" s="5" t="s">
        <v>33</v>
      </c>
      <c r="T139" s="5"/>
      <c r="U139" s="7">
        <v>1305.21</v>
      </c>
      <c r="V139" s="5">
        <v>562.80999999999995</v>
      </c>
      <c r="W139" s="5">
        <v>519.73</v>
      </c>
      <c r="X139" s="5">
        <v>0</v>
      </c>
      <c r="Y139" s="5">
        <v>222.67</v>
      </c>
    </row>
    <row r="140" spans="1:25" ht="24.75" x14ac:dyDescent="0.25">
      <c r="A140" s="5" t="s">
        <v>26</v>
      </c>
      <c r="B140" s="5" t="s">
        <v>38</v>
      </c>
      <c r="C140" s="5" t="s">
        <v>49</v>
      </c>
      <c r="D140" s="5" t="s">
        <v>54</v>
      </c>
      <c r="E140" s="5" t="s">
        <v>34</v>
      </c>
      <c r="F140" s="5" t="s">
        <v>55</v>
      </c>
      <c r="G140" s="5">
        <v>2019</v>
      </c>
      <c r="H140" s="5" t="str">
        <f>CONCATENATE("94240998370")</f>
        <v>94240998370</v>
      </c>
      <c r="I140" s="5" t="s">
        <v>29</v>
      </c>
      <c r="J140" s="5" t="s">
        <v>30</v>
      </c>
      <c r="K140" s="5" t="str">
        <f>CONCATENATE("")</f>
        <v/>
      </c>
      <c r="L140" s="5" t="str">
        <f>CONCATENATE("10 10.1 4a")</f>
        <v>10 10.1 4a</v>
      </c>
      <c r="M140" s="5" t="str">
        <f>CONCATENATE("SNTRRT76H57A271B")</f>
        <v>SNTRRT76H57A271B</v>
      </c>
      <c r="N140" s="5" t="s">
        <v>227</v>
      </c>
      <c r="O140" s="5" t="s">
        <v>202</v>
      </c>
      <c r="P140" s="6">
        <v>43987</v>
      </c>
      <c r="Q140" s="5" t="s">
        <v>31</v>
      </c>
      <c r="R140" s="5" t="s">
        <v>32</v>
      </c>
      <c r="S140" s="5" t="s">
        <v>33</v>
      </c>
      <c r="T140" s="5"/>
      <c r="U140" s="5">
        <v>440.76</v>
      </c>
      <c r="V140" s="5">
        <v>190.06</v>
      </c>
      <c r="W140" s="5">
        <v>175.51</v>
      </c>
      <c r="X140" s="5">
        <v>0</v>
      </c>
      <c r="Y140" s="5">
        <v>75.19</v>
      </c>
    </row>
    <row r="141" spans="1:25" ht="24.75" x14ac:dyDescent="0.25">
      <c r="A141" s="5" t="s">
        <v>26</v>
      </c>
      <c r="B141" s="5" t="s">
        <v>38</v>
      </c>
      <c r="C141" s="5" t="s">
        <v>49</v>
      </c>
      <c r="D141" s="5" t="s">
        <v>54</v>
      </c>
      <c r="E141" s="5" t="s">
        <v>34</v>
      </c>
      <c r="F141" s="5" t="s">
        <v>55</v>
      </c>
      <c r="G141" s="5">
        <v>2018</v>
      </c>
      <c r="H141" s="5" t="str">
        <f>CONCATENATE("84240845150")</f>
        <v>84240845150</v>
      </c>
      <c r="I141" s="5" t="s">
        <v>29</v>
      </c>
      <c r="J141" s="5" t="s">
        <v>30</v>
      </c>
      <c r="K141" s="5" t="str">
        <f>CONCATENATE("")</f>
        <v/>
      </c>
      <c r="L141" s="5" t="str">
        <f>CONCATENATE("10 10.1 4a")</f>
        <v>10 10.1 4a</v>
      </c>
      <c r="M141" s="5" t="str">
        <f>CONCATENATE("SNTRRT76H57A271B")</f>
        <v>SNTRRT76H57A271B</v>
      </c>
      <c r="N141" s="5" t="s">
        <v>227</v>
      </c>
      <c r="O141" s="5" t="s">
        <v>202</v>
      </c>
      <c r="P141" s="6">
        <v>43987</v>
      </c>
      <c r="Q141" s="5" t="s">
        <v>31</v>
      </c>
      <c r="R141" s="5" t="s">
        <v>32</v>
      </c>
      <c r="S141" s="5" t="s">
        <v>33</v>
      </c>
      <c r="T141" s="5"/>
      <c r="U141" s="5">
        <v>440.76</v>
      </c>
      <c r="V141" s="5">
        <v>190.06</v>
      </c>
      <c r="W141" s="5">
        <v>175.51</v>
      </c>
      <c r="X141" s="5">
        <v>0</v>
      </c>
      <c r="Y141" s="5">
        <v>75.19</v>
      </c>
    </row>
    <row r="142" spans="1:25" ht="24.75" x14ac:dyDescent="0.25">
      <c r="A142" s="5" t="s">
        <v>26</v>
      </c>
      <c r="B142" s="5" t="s">
        <v>38</v>
      </c>
      <c r="C142" s="5" t="s">
        <v>49</v>
      </c>
      <c r="D142" s="5" t="s">
        <v>54</v>
      </c>
      <c r="E142" s="5" t="s">
        <v>34</v>
      </c>
      <c r="F142" s="5" t="s">
        <v>203</v>
      </c>
      <c r="G142" s="5">
        <v>2019</v>
      </c>
      <c r="H142" s="5" t="str">
        <f>CONCATENATE("94240503428")</f>
        <v>94240503428</v>
      </c>
      <c r="I142" s="5" t="s">
        <v>29</v>
      </c>
      <c r="J142" s="5" t="s">
        <v>30</v>
      </c>
      <c r="K142" s="5" t="str">
        <f>CONCATENATE("")</f>
        <v/>
      </c>
      <c r="L142" s="5" t="str">
        <f>CONCATENATE("10 10.1 4a")</f>
        <v>10 10.1 4a</v>
      </c>
      <c r="M142" s="5" t="str">
        <f>CONCATENATE("02018110425")</f>
        <v>02018110425</v>
      </c>
      <c r="N142" s="5" t="s">
        <v>228</v>
      </c>
      <c r="O142" s="5" t="s">
        <v>202</v>
      </c>
      <c r="P142" s="6">
        <v>43987</v>
      </c>
      <c r="Q142" s="5" t="s">
        <v>31</v>
      </c>
      <c r="R142" s="5" t="s">
        <v>32</v>
      </c>
      <c r="S142" s="5" t="s">
        <v>33</v>
      </c>
      <c r="T142" s="5"/>
      <c r="U142" s="5">
        <v>481.36</v>
      </c>
      <c r="V142" s="5">
        <v>207.56</v>
      </c>
      <c r="W142" s="5">
        <v>191.68</v>
      </c>
      <c r="X142" s="5">
        <v>0</v>
      </c>
      <c r="Y142" s="5">
        <v>82.12</v>
      </c>
    </row>
    <row r="143" spans="1:25" ht="24.75" x14ac:dyDescent="0.25">
      <c r="A143" s="5" t="s">
        <v>26</v>
      </c>
      <c r="B143" s="5" t="s">
        <v>38</v>
      </c>
      <c r="C143" s="5" t="s">
        <v>49</v>
      </c>
      <c r="D143" s="5" t="s">
        <v>54</v>
      </c>
      <c r="E143" s="5" t="s">
        <v>34</v>
      </c>
      <c r="F143" s="5" t="s">
        <v>203</v>
      </c>
      <c r="G143" s="5">
        <v>2018</v>
      </c>
      <c r="H143" s="5" t="str">
        <f>CONCATENATE("84240598338")</f>
        <v>84240598338</v>
      </c>
      <c r="I143" s="5" t="s">
        <v>29</v>
      </c>
      <c r="J143" s="5" t="s">
        <v>30</v>
      </c>
      <c r="K143" s="5" t="str">
        <f>CONCATENATE("")</f>
        <v/>
      </c>
      <c r="L143" s="5" t="str">
        <f>CONCATENATE("10 10.1 4a")</f>
        <v>10 10.1 4a</v>
      </c>
      <c r="M143" s="5" t="str">
        <f>CONCATENATE("02018110425")</f>
        <v>02018110425</v>
      </c>
      <c r="N143" s="5" t="s">
        <v>228</v>
      </c>
      <c r="O143" s="5" t="s">
        <v>202</v>
      </c>
      <c r="P143" s="6">
        <v>43987</v>
      </c>
      <c r="Q143" s="5" t="s">
        <v>31</v>
      </c>
      <c r="R143" s="5" t="s">
        <v>32</v>
      </c>
      <c r="S143" s="5" t="s">
        <v>33</v>
      </c>
      <c r="T143" s="5"/>
      <c r="U143" s="5">
        <v>481.36</v>
      </c>
      <c r="V143" s="5">
        <v>207.56</v>
      </c>
      <c r="W143" s="5">
        <v>191.68</v>
      </c>
      <c r="X143" s="5">
        <v>0</v>
      </c>
      <c r="Y143" s="5">
        <v>82.12</v>
      </c>
    </row>
    <row r="144" spans="1:25" ht="24.75" x14ac:dyDescent="0.25">
      <c r="A144" s="5" t="s">
        <v>26</v>
      </c>
      <c r="B144" s="5" t="s">
        <v>38</v>
      </c>
      <c r="C144" s="5" t="s">
        <v>49</v>
      </c>
      <c r="D144" s="5" t="s">
        <v>54</v>
      </c>
      <c r="E144" s="5" t="s">
        <v>34</v>
      </c>
      <c r="F144" s="5" t="s">
        <v>203</v>
      </c>
      <c r="G144" s="5">
        <v>2019</v>
      </c>
      <c r="H144" s="5" t="str">
        <f>CONCATENATE("94240637358")</f>
        <v>94240637358</v>
      </c>
      <c r="I144" s="5" t="s">
        <v>29</v>
      </c>
      <c r="J144" s="5" t="s">
        <v>30</v>
      </c>
      <c r="K144" s="5" t="str">
        <f>CONCATENATE("")</f>
        <v/>
      </c>
      <c r="L144" s="5" t="str">
        <f>CONCATENATE("10 10.1 4a")</f>
        <v>10 10.1 4a</v>
      </c>
      <c r="M144" s="5" t="str">
        <f>CONCATENATE("02758090423")</f>
        <v>02758090423</v>
      </c>
      <c r="N144" s="5" t="s">
        <v>229</v>
      </c>
      <c r="O144" s="5" t="s">
        <v>202</v>
      </c>
      <c r="P144" s="6">
        <v>43987</v>
      </c>
      <c r="Q144" s="5" t="s">
        <v>31</v>
      </c>
      <c r="R144" s="5" t="s">
        <v>32</v>
      </c>
      <c r="S144" s="5" t="s">
        <v>33</v>
      </c>
      <c r="T144" s="5"/>
      <c r="U144" s="5">
        <v>88</v>
      </c>
      <c r="V144" s="5">
        <v>37.950000000000003</v>
      </c>
      <c r="W144" s="5">
        <v>35.04</v>
      </c>
      <c r="X144" s="5">
        <v>0</v>
      </c>
      <c r="Y144" s="5">
        <v>15.01</v>
      </c>
    </row>
    <row r="145" spans="1:25" ht="24.75" x14ac:dyDescent="0.25">
      <c r="A145" s="5" t="s">
        <v>26</v>
      </c>
      <c r="B145" s="5" t="s">
        <v>38</v>
      </c>
      <c r="C145" s="5" t="s">
        <v>49</v>
      </c>
      <c r="D145" s="5" t="s">
        <v>54</v>
      </c>
      <c r="E145" s="5" t="s">
        <v>34</v>
      </c>
      <c r="F145" s="5" t="s">
        <v>203</v>
      </c>
      <c r="G145" s="5">
        <v>2018</v>
      </c>
      <c r="H145" s="5" t="str">
        <f>CONCATENATE("84240830301")</f>
        <v>84240830301</v>
      </c>
      <c r="I145" s="5" t="s">
        <v>29</v>
      </c>
      <c r="J145" s="5" t="s">
        <v>30</v>
      </c>
      <c r="K145" s="5" t="str">
        <f>CONCATENATE("")</f>
        <v/>
      </c>
      <c r="L145" s="5" t="str">
        <f>CONCATENATE("10 10.1 4a")</f>
        <v>10 10.1 4a</v>
      </c>
      <c r="M145" s="5" t="str">
        <f>CONCATENATE("02758090423")</f>
        <v>02758090423</v>
      </c>
      <c r="N145" s="5" t="s">
        <v>229</v>
      </c>
      <c r="O145" s="5" t="s">
        <v>202</v>
      </c>
      <c r="P145" s="6">
        <v>43987</v>
      </c>
      <c r="Q145" s="5" t="s">
        <v>31</v>
      </c>
      <c r="R145" s="5" t="s">
        <v>32</v>
      </c>
      <c r="S145" s="5" t="s">
        <v>33</v>
      </c>
      <c r="T145" s="5"/>
      <c r="U145" s="7">
        <v>1018</v>
      </c>
      <c r="V145" s="5">
        <v>438.96</v>
      </c>
      <c r="W145" s="5">
        <v>405.37</v>
      </c>
      <c r="X145" s="5">
        <v>0</v>
      </c>
      <c r="Y145" s="5">
        <v>173.67</v>
      </c>
    </row>
    <row r="146" spans="1:25" ht="24.75" x14ac:dyDescent="0.25">
      <c r="A146" s="5" t="s">
        <v>26</v>
      </c>
      <c r="B146" s="5" t="s">
        <v>38</v>
      </c>
      <c r="C146" s="5" t="s">
        <v>49</v>
      </c>
      <c r="D146" s="5" t="s">
        <v>54</v>
      </c>
      <c r="E146" s="5" t="s">
        <v>34</v>
      </c>
      <c r="F146" s="5" t="s">
        <v>203</v>
      </c>
      <c r="G146" s="5">
        <v>2019</v>
      </c>
      <c r="H146" s="5" t="str">
        <f>CONCATENATE("94240637697")</f>
        <v>94240637697</v>
      </c>
      <c r="I146" s="5" t="s">
        <v>29</v>
      </c>
      <c r="J146" s="5" t="s">
        <v>30</v>
      </c>
      <c r="K146" s="5" t="str">
        <f>CONCATENATE("")</f>
        <v/>
      </c>
      <c r="L146" s="5" t="str">
        <f>CONCATENATE("10 10.1 4a")</f>
        <v>10 10.1 4a</v>
      </c>
      <c r="M146" s="5" t="str">
        <f>CONCATENATE("02758090423")</f>
        <v>02758090423</v>
      </c>
      <c r="N146" s="5" t="s">
        <v>229</v>
      </c>
      <c r="O146" s="5" t="s">
        <v>202</v>
      </c>
      <c r="P146" s="6">
        <v>43987</v>
      </c>
      <c r="Q146" s="5" t="s">
        <v>31</v>
      </c>
      <c r="R146" s="5" t="s">
        <v>32</v>
      </c>
      <c r="S146" s="5" t="s">
        <v>33</v>
      </c>
      <c r="T146" s="5"/>
      <c r="U146" s="7">
        <v>1018</v>
      </c>
      <c r="V146" s="5">
        <v>438.96</v>
      </c>
      <c r="W146" s="5">
        <v>405.37</v>
      </c>
      <c r="X146" s="5">
        <v>0</v>
      </c>
      <c r="Y146" s="5">
        <v>173.67</v>
      </c>
    </row>
    <row r="147" spans="1:25" ht="24.75" x14ac:dyDescent="0.25">
      <c r="A147" s="5" t="s">
        <v>26</v>
      </c>
      <c r="B147" s="5" t="s">
        <v>38</v>
      </c>
      <c r="C147" s="5" t="s">
        <v>49</v>
      </c>
      <c r="D147" s="5" t="s">
        <v>54</v>
      </c>
      <c r="E147" s="5" t="s">
        <v>34</v>
      </c>
      <c r="F147" s="5" t="s">
        <v>203</v>
      </c>
      <c r="G147" s="5">
        <v>2019</v>
      </c>
      <c r="H147" s="5" t="str">
        <f>CONCATENATE("94240468705")</f>
        <v>94240468705</v>
      </c>
      <c r="I147" s="5" t="s">
        <v>29</v>
      </c>
      <c r="J147" s="5" t="s">
        <v>30</v>
      </c>
      <c r="K147" s="5" t="str">
        <f>CONCATENATE("")</f>
        <v/>
      </c>
      <c r="L147" s="5" t="str">
        <f>CONCATENATE("10 10.1 4a")</f>
        <v>10 10.1 4a</v>
      </c>
      <c r="M147" s="5" t="str">
        <f>CONCATENATE("SCCNDR88D23E388H")</f>
        <v>SCCNDR88D23E388H</v>
      </c>
      <c r="N147" s="5" t="s">
        <v>230</v>
      </c>
      <c r="O147" s="5" t="s">
        <v>202</v>
      </c>
      <c r="P147" s="6">
        <v>43987</v>
      </c>
      <c r="Q147" s="5" t="s">
        <v>31</v>
      </c>
      <c r="R147" s="5" t="s">
        <v>32</v>
      </c>
      <c r="S147" s="5" t="s">
        <v>33</v>
      </c>
      <c r="T147" s="5"/>
      <c r="U147" s="5">
        <v>400.12</v>
      </c>
      <c r="V147" s="5">
        <v>172.53</v>
      </c>
      <c r="W147" s="5">
        <v>159.33000000000001</v>
      </c>
      <c r="X147" s="5">
        <v>0</v>
      </c>
      <c r="Y147" s="5">
        <v>68.260000000000005</v>
      </c>
    </row>
    <row r="148" spans="1:25" ht="24.75" x14ac:dyDescent="0.25">
      <c r="A148" s="5" t="s">
        <v>26</v>
      </c>
      <c r="B148" s="5" t="s">
        <v>38</v>
      </c>
      <c r="C148" s="5" t="s">
        <v>49</v>
      </c>
      <c r="D148" s="5" t="s">
        <v>50</v>
      </c>
      <c r="E148" s="5" t="s">
        <v>39</v>
      </c>
      <c r="F148" s="5" t="s">
        <v>51</v>
      </c>
      <c r="G148" s="5">
        <v>2019</v>
      </c>
      <c r="H148" s="5" t="str">
        <f>CONCATENATE("94240871122")</f>
        <v>94240871122</v>
      </c>
      <c r="I148" s="5" t="s">
        <v>41</v>
      </c>
      <c r="J148" s="5" t="s">
        <v>30</v>
      </c>
      <c r="K148" s="5" t="str">
        <f>CONCATENATE("")</f>
        <v/>
      </c>
      <c r="L148" s="5" t="str">
        <f>CONCATENATE("11 11.1 4b")</f>
        <v>11 11.1 4b</v>
      </c>
      <c r="M148" s="5" t="str">
        <f>CONCATENATE("VRGMNN27R70G289Z")</f>
        <v>VRGMNN27R70G289Z</v>
      </c>
      <c r="N148" s="5" t="s">
        <v>231</v>
      </c>
      <c r="O148" s="5" t="s">
        <v>207</v>
      </c>
      <c r="P148" s="6">
        <v>43987</v>
      </c>
      <c r="Q148" s="5" t="s">
        <v>31</v>
      </c>
      <c r="R148" s="5" t="s">
        <v>32</v>
      </c>
      <c r="S148" s="5" t="s">
        <v>33</v>
      </c>
      <c r="T148" s="5"/>
      <c r="U148" s="5">
        <v>168.89</v>
      </c>
      <c r="V148" s="5">
        <v>72.83</v>
      </c>
      <c r="W148" s="5">
        <v>67.25</v>
      </c>
      <c r="X148" s="5">
        <v>0</v>
      </c>
      <c r="Y148" s="5">
        <v>28.81</v>
      </c>
    </row>
    <row r="149" spans="1:25" ht="24.75" x14ac:dyDescent="0.25">
      <c r="A149" s="5" t="s">
        <v>26</v>
      </c>
      <c r="B149" s="5" t="s">
        <v>38</v>
      </c>
      <c r="C149" s="5" t="s">
        <v>49</v>
      </c>
      <c r="D149" s="5" t="s">
        <v>50</v>
      </c>
      <c r="E149" s="5" t="s">
        <v>39</v>
      </c>
      <c r="F149" s="5" t="s">
        <v>66</v>
      </c>
      <c r="G149" s="5">
        <v>2018</v>
      </c>
      <c r="H149" s="5" t="str">
        <f>CONCATENATE("84240851281")</f>
        <v>84240851281</v>
      </c>
      <c r="I149" s="5" t="s">
        <v>29</v>
      </c>
      <c r="J149" s="5" t="s">
        <v>30</v>
      </c>
      <c r="K149" s="5" t="str">
        <f>CONCATENATE("")</f>
        <v/>
      </c>
      <c r="L149" s="5" t="str">
        <f>CONCATENATE("10 10.1 4a")</f>
        <v>10 10.1 4a</v>
      </c>
      <c r="M149" s="5" t="str">
        <f>CONCATENATE("TRNGZL54T48H588K")</f>
        <v>TRNGZL54T48H588K</v>
      </c>
      <c r="N149" s="5" t="s">
        <v>232</v>
      </c>
      <c r="O149" s="5" t="s">
        <v>202</v>
      </c>
      <c r="P149" s="6">
        <v>43987</v>
      </c>
      <c r="Q149" s="5" t="s">
        <v>31</v>
      </c>
      <c r="R149" s="5" t="s">
        <v>32</v>
      </c>
      <c r="S149" s="5" t="s">
        <v>33</v>
      </c>
      <c r="T149" s="5"/>
      <c r="U149" s="5">
        <v>426.49</v>
      </c>
      <c r="V149" s="5">
        <v>183.9</v>
      </c>
      <c r="W149" s="5">
        <v>169.83</v>
      </c>
      <c r="X149" s="5">
        <v>0</v>
      </c>
      <c r="Y149" s="5">
        <v>72.760000000000005</v>
      </c>
    </row>
    <row r="150" spans="1:25" x14ac:dyDescent="0.25">
      <c r="A150" s="5" t="s">
        <v>26</v>
      </c>
      <c r="B150" s="5" t="s">
        <v>38</v>
      </c>
      <c r="C150" s="5" t="s">
        <v>49</v>
      </c>
      <c r="D150" s="5" t="s">
        <v>87</v>
      </c>
      <c r="E150" s="5" t="s">
        <v>39</v>
      </c>
      <c r="F150" s="5" t="s">
        <v>88</v>
      </c>
      <c r="G150" s="5">
        <v>2019</v>
      </c>
      <c r="H150" s="5" t="str">
        <f>CONCATENATE("94240186042")</f>
        <v>94240186042</v>
      </c>
      <c r="I150" s="5" t="s">
        <v>29</v>
      </c>
      <c r="J150" s="5" t="s">
        <v>30</v>
      </c>
      <c r="K150" s="5" t="str">
        <f>CONCATENATE("")</f>
        <v/>
      </c>
      <c r="L150" s="5" t="str">
        <f>CONCATENATE("10 10.1 4a")</f>
        <v>10 10.1 4a</v>
      </c>
      <c r="M150" s="5" t="str">
        <f>CONCATENATE("SPEFTN65D21M078G")</f>
        <v>SPEFTN65D21M078G</v>
      </c>
      <c r="N150" s="5" t="s">
        <v>233</v>
      </c>
      <c r="O150" s="5" t="s">
        <v>234</v>
      </c>
      <c r="P150" s="6">
        <v>43987</v>
      </c>
      <c r="Q150" s="5" t="s">
        <v>31</v>
      </c>
      <c r="R150" s="5" t="s">
        <v>32</v>
      </c>
      <c r="S150" s="5" t="s">
        <v>33</v>
      </c>
      <c r="T150" s="5"/>
      <c r="U150" s="7">
        <v>1153.17</v>
      </c>
      <c r="V150" s="5">
        <v>497.25</v>
      </c>
      <c r="W150" s="5">
        <v>459.19</v>
      </c>
      <c r="X150" s="5">
        <v>0</v>
      </c>
      <c r="Y150" s="5">
        <v>196.73</v>
      </c>
    </row>
    <row r="151" spans="1:25" x14ac:dyDescent="0.25">
      <c r="A151" s="5" t="s">
        <v>26</v>
      </c>
      <c r="B151" s="5" t="s">
        <v>38</v>
      </c>
      <c r="C151" s="5" t="s">
        <v>49</v>
      </c>
      <c r="D151" s="5" t="s">
        <v>87</v>
      </c>
      <c r="E151" s="5" t="s">
        <v>39</v>
      </c>
      <c r="F151" s="5" t="s">
        <v>143</v>
      </c>
      <c r="G151" s="5">
        <v>2019</v>
      </c>
      <c r="H151" s="5" t="str">
        <f>CONCATENATE("94240796048")</f>
        <v>94240796048</v>
      </c>
      <c r="I151" s="5" t="s">
        <v>29</v>
      </c>
      <c r="J151" s="5" t="s">
        <v>30</v>
      </c>
      <c r="K151" s="5" t="str">
        <f>CONCATENATE("")</f>
        <v/>
      </c>
      <c r="L151" s="5" t="str">
        <f>CONCATENATE("11 11.2 4b")</f>
        <v>11 11.2 4b</v>
      </c>
      <c r="M151" s="5" t="str">
        <f>CONCATENATE("DLCLSN82E09L366T")</f>
        <v>DLCLSN82E09L366T</v>
      </c>
      <c r="N151" s="5" t="s">
        <v>235</v>
      </c>
      <c r="O151" s="5" t="s">
        <v>207</v>
      </c>
      <c r="P151" s="6">
        <v>43987</v>
      </c>
      <c r="Q151" s="5" t="s">
        <v>31</v>
      </c>
      <c r="R151" s="5" t="s">
        <v>32</v>
      </c>
      <c r="S151" s="5" t="s">
        <v>33</v>
      </c>
      <c r="T151" s="5"/>
      <c r="U151" s="7">
        <v>7774.99</v>
      </c>
      <c r="V151" s="7">
        <v>3352.58</v>
      </c>
      <c r="W151" s="7">
        <v>3096</v>
      </c>
      <c r="X151" s="5">
        <v>0</v>
      </c>
      <c r="Y151" s="7">
        <v>1326.41</v>
      </c>
    </row>
    <row r="152" spans="1:25" x14ac:dyDescent="0.25">
      <c r="A152" s="5" t="s">
        <v>26</v>
      </c>
      <c r="B152" s="5" t="s">
        <v>38</v>
      </c>
      <c r="C152" s="5" t="s">
        <v>49</v>
      </c>
      <c r="D152" s="5" t="s">
        <v>87</v>
      </c>
      <c r="E152" s="5" t="s">
        <v>45</v>
      </c>
      <c r="F152" s="5" t="s">
        <v>121</v>
      </c>
      <c r="G152" s="5">
        <v>2018</v>
      </c>
      <c r="H152" s="5" t="str">
        <f>CONCATENATE("84240424022")</f>
        <v>84240424022</v>
      </c>
      <c r="I152" s="5" t="s">
        <v>29</v>
      </c>
      <c r="J152" s="5" t="s">
        <v>30</v>
      </c>
      <c r="K152" s="5" t="str">
        <f>CONCATENATE("")</f>
        <v/>
      </c>
      <c r="L152" s="5" t="str">
        <f>CONCATENATE("11 11.1 4b")</f>
        <v>11 11.1 4b</v>
      </c>
      <c r="M152" s="5" t="str">
        <f>CONCATENATE("DDNCTA63L68C770Q")</f>
        <v>DDNCTA63L68C770Q</v>
      </c>
      <c r="N152" s="5" t="s">
        <v>236</v>
      </c>
      <c r="O152" s="5" t="s">
        <v>207</v>
      </c>
      <c r="P152" s="6">
        <v>43987</v>
      </c>
      <c r="Q152" s="5" t="s">
        <v>31</v>
      </c>
      <c r="R152" s="5" t="s">
        <v>32</v>
      </c>
      <c r="S152" s="5" t="s">
        <v>33</v>
      </c>
      <c r="T152" s="5"/>
      <c r="U152" s="5">
        <v>468.68</v>
      </c>
      <c r="V152" s="5">
        <v>202.09</v>
      </c>
      <c r="W152" s="5">
        <v>186.63</v>
      </c>
      <c r="X152" s="5">
        <v>0</v>
      </c>
      <c r="Y152" s="5">
        <v>79.959999999999994</v>
      </c>
    </row>
    <row r="153" spans="1:25" ht="24.75" x14ac:dyDescent="0.25">
      <c r="A153" s="5" t="s">
        <v>26</v>
      </c>
      <c r="B153" s="5" t="s">
        <v>38</v>
      </c>
      <c r="C153" s="5" t="s">
        <v>49</v>
      </c>
      <c r="D153" s="5" t="s">
        <v>54</v>
      </c>
      <c r="E153" s="5" t="s">
        <v>35</v>
      </c>
      <c r="F153" s="5" t="s">
        <v>237</v>
      </c>
      <c r="G153" s="5">
        <v>2019</v>
      </c>
      <c r="H153" s="5" t="str">
        <f>CONCATENATE("94240376114")</f>
        <v>94240376114</v>
      </c>
      <c r="I153" s="5" t="s">
        <v>29</v>
      </c>
      <c r="J153" s="5" t="s">
        <v>30</v>
      </c>
      <c r="K153" s="5" t="str">
        <f>CONCATENATE("")</f>
        <v/>
      </c>
      <c r="L153" s="5" t="str">
        <f>CONCATENATE("11 11.2 4b")</f>
        <v>11 11.2 4b</v>
      </c>
      <c r="M153" s="5" t="str">
        <f>CONCATENATE("GMBGRT92L70L500Q")</f>
        <v>GMBGRT92L70L500Q</v>
      </c>
      <c r="N153" s="5" t="s">
        <v>238</v>
      </c>
      <c r="O153" s="5" t="s">
        <v>207</v>
      </c>
      <c r="P153" s="6">
        <v>43987</v>
      </c>
      <c r="Q153" s="5" t="s">
        <v>31</v>
      </c>
      <c r="R153" s="5" t="s">
        <v>32</v>
      </c>
      <c r="S153" s="5" t="s">
        <v>33</v>
      </c>
      <c r="T153" s="5"/>
      <c r="U153" s="5">
        <v>351.06</v>
      </c>
      <c r="V153" s="5">
        <v>151.38</v>
      </c>
      <c r="W153" s="5">
        <v>139.79</v>
      </c>
      <c r="X153" s="5">
        <v>0</v>
      </c>
      <c r="Y153" s="5">
        <v>59.89</v>
      </c>
    </row>
    <row r="154" spans="1:25" x14ac:dyDescent="0.25">
      <c r="A154" s="5" t="s">
        <v>26</v>
      </c>
      <c r="B154" s="5" t="s">
        <v>38</v>
      </c>
      <c r="C154" s="5" t="s">
        <v>49</v>
      </c>
      <c r="D154" s="5" t="s">
        <v>87</v>
      </c>
      <c r="E154" s="5" t="s">
        <v>39</v>
      </c>
      <c r="F154" s="5" t="s">
        <v>239</v>
      </c>
      <c r="G154" s="5">
        <v>2019</v>
      </c>
      <c r="H154" s="5" t="str">
        <f>CONCATENATE("94240850415")</f>
        <v>94240850415</v>
      </c>
      <c r="I154" s="5" t="s">
        <v>29</v>
      </c>
      <c r="J154" s="5" t="s">
        <v>30</v>
      </c>
      <c r="K154" s="5" t="str">
        <f>CONCATENATE("")</f>
        <v/>
      </c>
      <c r="L154" s="5" t="str">
        <f>CONCATENATE("11 11.2 4b")</f>
        <v>11 11.2 4b</v>
      </c>
      <c r="M154" s="5" t="str">
        <f>CONCATENATE("PLGFNC69P30C704L")</f>
        <v>PLGFNC69P30C704L</v>
      </c>
      <c r="N154" s="5" t="s">
        <v>240</v>
      </c>
      <c r="O154" s="5" t="s">
        <v>207</v>
      </c>
      <c r="P154" s="6">
        <v>43987</v>
      </c>
      <c r="Q154" s="5" t="s">
        <v>31</v>
      </c>
      <c r="R154" s="5" t="s">
        <v>32</v>
      </c>
      <c r="S154" s="5" t="s">
        <v>33</v>
      </c>
      <c r="T154" s="5"/>
      <c r="U154" s="7">
        <v>2733.81</v>
      </c>
      <c r="V154" s="7">
        <v>1178.82</v>
      </c>
      <c r="W154" s="7">
        <v>1088.5999999999999</v>
      </c>
      <c r="X154" s="5">
        <v>0</v>
      </c>
      <c r="Y154" s="5">
        <v>466.39</v>
      </c>
    </row>
    <row r="155" spans="1:25" x14ac:dyDescent="0.25">
      <c r="A155" s="5" t="s">
        <v>26</v>
      </c>
      <c r="B155" s="5" t="s">
        <v>38</v>
      </c>
      <c r="C155" s="5" t="s">
        <v>49</v>
      </c>
      <c r="D155" s="5" t="s">
        <v>87</v>
      </c>
      <c r="E155" s="5" t="s">
        <v>35</v>
      </c>
      <c r="F155" s="5" t="s">
        <v>214</v>
      </c>
      <c r="G155" s="5">
        <v>2019</v>
      </c>
      <c r="H155" s="5" t="str">
        <f>CONCATENATE("94241046765")</f>
        <v>94241046765</v>
      </c>
      <c r="I155" s="5" t="s">
        <v>29</v>
      </c>
      <c r="J155" s="5" t="s">
        <v>30</v>
      </c>
      <c r="K155" s="5" t="str">
        <f>CONCATENATE("")</f>
        <v/>
      </c>
      <c r="L155" s="5" t="str">
        <f>CONCATENATE("11 11.2 4b")</f>
        <v>11 11.2 4b</v>
      </c>
      <c r="M155" s="5" t="str">
        <f>CONCATENATE("BRNPDM96L02E783N")</f>
        <v>BRNPDM96L02E783N</v>
      </c>
      <c r="N155" s="5" t="s">
        <v>241</v>
      </c>
      <c r="O155" s="5" t="s">
        <v>207</v>
      </c>
      <c r="P155" s="6">
        <v>43987</v>
      </c>
      <c r="Q155" s="5" t="s">
        <v>31</v>
      </c>
      <c r="R155" s="5" t="s">
        <v>32</v>
      </c>
      <c r="S155" s="5" t="s">
        <v>33</v>
      </c>
      <c r="T155" s="5"/>
      <c r="U155" s="5">
        <v>715.01</v>
      </c>
      <c r="V155" s="5">
        <v>308.31</v>
      </c>
      <c r="W155" s="5">
        <v>284.72000000000003</v>
      </c>
      <c r="X155" s="5">
        <v>0</v>
      </c>
      <c r="Y155" s="5">
        <v>121.98</v>
      </c>
    </row>
    <row r="156" spans="1:25" x14ac:dyDescent="0.25">
      <c r="A156" s="5" t="s">
        <v>26</v>
      </c>
      <c r="B156" s="5" t="s">
        <v>38</v>
      </c>
      <c r="C156" s="5" t="s">
        <v>49</v>
      </c>
      <c r="D156" s="5" t="s">
        <v>87</v>
      </c>
      <c r="E156" s="5" t="s">
        <v>35</v>
      </c>
      <c r="F156" s="5" t="s">
        <v>128</v>
      </c>
      <c r="G156" s="5">
        <v>2019</v>
      </c>
      <c r="H156" s="5" t="str">
        <f>CONCATENATE("94240883762")</f>
        <v>94240883762</v>
      </c>
      <c r="I156" s="5" t="s">
        <v>29</v>
      </c>
      <c r="J156" s="5" t="s">
        <v>30</v>
      </c>
      <c r="K156" s="5" t="str">
        <f>CONCATENATE("")</f>
        <v/>
      </c>
      <c r="L156" s="5" t="str">
        <f>CONCATENATE("11 11.2 4b")</f>
        <v>11 11.2 4b</v>
      </c>
      <c r="M156" s="5" t="str">
        <f>CONCATENATE("VNDPRJ71C23Z126G")</f>
        <v>VNDPRJ71C23Z126G</v>
      </c>
      <c r="N156" s="5" t="s">
        <v>242</v>
      </c>
      <c r="O156" s="5" t="s">
        <v>207</v>
      </c>
      <c r="P156" s="6">
        <v>43987</v>
      </c>
      <c r="Q156" s="5" t="s">
        <v>31</v>
      </c>
      <c r="R156" s="5" t="s">
        <v>32</v>
      </c>
      <c r="S156" s="5" t="s">
        <v>33</v>
      </c>
      <c r="T156" s="5"/>
      <c r="U156" s="7">
        <v>1132.82</v>
      </c>
      <c r="V156" s="5">
        <v>488.47</v>
      </c>
      <c r="W156" s="5">
        <v>451.09</v>
      </c>
      <c r="X156" s="5">
        <v>0</v>
      </c>
      <c r="Y156" s="5">
        <v>193.26</v>
      </c>
    </row>
    <row r="157" spans="1:25" x14ac:dyDescent="0.25">
      <c r="A157" s="5" t="s">
        <v>26</v>
      </c>
      <c r="B157" s="5" t="s">
        <v>38</v>
      </c>
      <c r="C157" s="5" t="s">
        <v>49</v>
      </c>
      <c r="D157" s="5" t="s">
        <v>87</v>
      </c>
      <c r="E157" s="5" t="s">
        <v>35</v>
      </c>
      <c r="F157" s="5" t="s">
        <v>128</v>
      </c>
      <c r="G157" s="5">
        <v>2019</v>
      </c>
      <c r="H157" s="5" t="str">
        <f>CONCATENATE("94240255995")</f>
        <v>94240255995</v>
      </c>
      <c r="I157" s="5" t="s">
        <v>29</v>
      </c>
      <c r="J157" s="5" t="s">
        <v>30</v>
      </c>
      <c r="K157" s="5" t="str">
        <f>CONCATENATE("")</f>
        <v/>
      </c>
      <c r="L157" s="5" t="str">
        <f>CONCATENATE("11 11.2 4b")</f>
        <v>11 11.2 4b</v>
      </c>
      <c r="M157" s="5" t="str">
        <f>CONCATENATE("VRDSMN84T04L366M")</f>
        <v>VRDSMN84T04L366M</v>
      </c>
      <c r="N157" s="5" t="s">
        <v>243</v>
      </c>
      <c r="O157" s="5" t="s">
        <v>207</v>
      </c>
      <c r="P157" s="6">
        <v>43987</v>
      </c>
      <c r="Q157" s="5" t="s">
        <v>31</v>
      </c>
      <c r="R157" s="5" t="s">
        <v>32</v>
      </c>
      <c r="S157" s="5" t="s">
        <v>33</v>
      </c>
      <c r="T157" s="5"/>
      <c r="U157" s="7">
        <v>11720.39</v>
      </c>
      <c r="V157" s="7">
        <v>5053.83</v>
      </c>
      <c r="W157" s="7">
        <v>4667.0600000000004</v>
      </c>
      <c r="X157" s="5">
        <v>0</v>
      </c>
      <c r="Y157" s="7">
        <v>1999.5</v>
      </c>
    </row>
    <row r="158" spans="1:25" x14ac:dyDescent="0.25">
      <c r="A158" s="5" t="s">
        <v>26</v>
      </c>
      <c r="B158" s="5" t="s">
        <v>38</v>
      </c>
      <c r="C158" s="5" t="s">
        <v>49</v>
      </c>
      <c r="D158" s="5" t="s">
        <v>87</v>
      </c>
      <c r="E158" s="5" t="s">
        <v>35</v>
      </c>
      <c r="F158" s="5" t="s">
        <v>214</v>
      </c>
      <c r="G158" s="5">
        <v>2019</v>
      </c>
      <c r="H158" s="5" t="str">
        <f>CONCATENATE("94240985302")</f>
        <v>94240985302</v>
      </c>
      <c r="I158" s="5" t="s">
        <v>29</v>
      </c>
      <c r="J158" s="5" t="s">
        <v>30</v>
      </c>
      <c r="K158" s="5" t="str">
        <f>CONCATENATE("")</f>
        <v/>
      </c>
      <c r="L158" s="5" t="str">
        <f>CONCATENATE("11 11.2 4b")</f>
        <v>11 11.2 4b</v>
      </c>
      <c r="M158" s="5" t="str">
        <f>CONCATENATE("01985380433")</f>
        <v>01985380433</v>
      </c>
      <c r="N158" s="5" t="s">
        <v>244</v>
      </c>
      <c r="O158" s="5" t="s">
        <v>207</v>
      </c>
      <c r="P158" s="6">
        <v>43987</v>
      </c>
      <c r="Q158" s="5" t="s">
        <v>31</v>
      </c>
      <c r="R158" s="5" t="s">
        <v>32</v>
      </c>
      <c r="S158" s="5" t="s">
        <v>33</v>
      </c>
      <c r="T158" s="5"/>
      <c r="U158" s="7">
        <v>1275.33</v>
      </c>
      <c r="V158" s="5">
        <v>549.91999999999996</v>
      </c>
      <c r="W158" s="5">
        <v>507.84</v>
      </c>
      <c r="X158" s="5">
        <v>0</v>
      </c>
      <c r="Y158" s="5">
        <v>217.57</v>
      </c>
    </row>
    <row r="159" spans="1:25" ht="24.75" x14ac:dyDescent="0.25">
      <c r="A159" s="5" t="s">
        <v>26</v>
      </c>
      <c r="B159" s="5" t="s">
        <v>38</v>
      </c>
      <c r="C159" s="5" t="s">
        <v>49</v>
      </c>
      <c r="D159" s="5" t="s">
        <v>50</v>
      </c>
      <c r="E159" s="5" t="s">
        <v>34</v>
      </c>
      <c r="F159" s="5" t="s">
        <v>245</v>
      </c>
      <c r="G159" s="5">
        <v>2019</v>
      </c>
      <c r="H159" s="5" t="str">
        <f>CONCATENATE("94240648637")</f>
        <v>94240648637</v>
      </c>
      <c r="I159" s="5" t="s">
        <v>41</v>
      </c>
      <c r="J159" s="5" t="s">
        <v>30</v>
      </c>
      <c r="K159" s="5" t="str">
        <f>CONCATENATE("")</f>
        <v/>
      </c>
      <c r="L159" s="5" t="str">
        <f>CONCATENATE("11 11.2 4b")</f>
        <v>11 11.2 4b</v>
      </c>
      <c r="M159" s="5" t="str">
        <f>CONCATENATE("VLLRRT74M19H769Z")</f>
        <v>VLLRRT74M19H769Z</v>
      </c>
      <c r="N159" s="5" t="s">
        <v>246</v>
      </c>
      <c r="O159" s="5" t="s">
        <v>207</v>
      </c>
      <c r="P159" s="6">
        <v>43987</v>
      </c>
      <c r="Q159" s="5" t="s">
        <v>31</v>
      </c>
      <c r="R159" s="5" t="s">
        <v>32</v>
      </c>
      <c r="S159" s="5" t="s">
        <v>33</v>
      </c>
      <c r="T159" s="5"/>
      <c r="U159" s="5">
        <v>192.11</v>
      </c>
      <c r="V159" s="5">
        <v>82.84</v>
      </c>
      <c r="W159" s="5">
        <v>76.5</v>
      </c>
      <c r="X159" s="5">
        <v>0</v>
      </c>
      <c r="Y159" s="5">
        <v>32.770000000000003</v>
      </c>
    </row>
    <row r="160" spans="1:25" ht="24.75" x14ac:dyDescent="0.25">
      <c r="A160" s="5" t="s">
        <v>26</v>
      </c>
      <c r="B160" s="5" t="s">
        <v>38</v>
      </c>
      <c r="C160" s="5" t="s">
        <v>49</v>
      </c>
      <c r="D160" s="5" t="s">
        <v>58</v>
      </c>
      <c r="E160" s="5" t="s">
        <v>39</v>
      </c>
      <c r="F160" s="5" t="s">
        <v>80</v>
      </c>
      <c r="G160" s="5">
        <v>2019</v>
      </c>
      <c r="H160" s="5" t="str">
        <f>CONCATENATE("94241019739")</f>
        <v>94241019739</v>
      </c>
      <c r="I160" s="5" t="s">
        <v>29</v>
      </c>
      <c r="J160" s="5" t="s">
        <v>30</v>
      </c>
      <c r="K160" s="5" t="str">
        <f>CONCATENATE("")</f>
        <v/>
      </c>
      <c r="L160" s="5" t="str">
        <f>CONCATENATE("11 11.2 4b")</f>
        <v>11 11.2 4b</v>
      </c>
      <c r="M160" s="5" t="str">
        <f>CONCATENATE("02408390413")</f>
        <v>02408390413</v>
      </c>
      <c r="N160" s="5" t="s">
        <v>247</v>
      </c>
      <c r="O160" s="5" t="s">
        <v>207</v>
      </c>
      <c r="P160" s="6">
        <v>43987</v>
      </c>
      <c r="Q160" s="5" t="s">
        <v>31</v>
      </c>
      <c r="R160" s="5" t="s">
        <v>32</v>
      </c>
      <c r="S160" s="5" t="s">
        <v>33</v>
      </c>
      <c r="T160" s="5"/>
      <c r="U160" s="5">
        <v>197.67</v>
      </c>
      <c r="V160" s="5">
        <v>85.24</v>
      </c>
      <c r="W160" s="5">
        <v>78.709999999999994</v>
      </c>
      <c r="X160" s="5">
        <v>0</v>
      </c>
      <c r="Y160" s="5">
        <v>33.72</v>
      </c>
    </row>
    <row r="161" spans="1:25" ht="24.75" x14ac:dyDescent="0.25">
      <c r="A161" s="5" t="s">
        <v>26</v>
      </c>
      <c r="B161" s="5" t="s">
        <v>38</v>
      </c>
      <c r="C161" s="5" t="s">
        <v>49</v>
      </c>
      <c r="D161" s="5" t="s">
        <v>50</v>
      </c>
      <c r="E161" s="5" t="s">
        <v>36</v>
      </c>
      <c r="F161" s="5" t="s">
        <v>36</v>
      </c>
      <c r="G161" s="5">
        <v>2019</v>
      </c>
      <c r="H161" s="5" t="str">
        <f>CONCATENATE("94241105066")</f>
        <v>94241105066</v>
      </c>
      <c r="I161" s="5" t="s">
        <v>29</v>
      </c>
      <c r="J161" s="5" t="s">
        <v>30</v>
      </c>
      <c r="K161" s="5" t="str">
        <f>CONCATENATE("")</f>
        <v/>
      </c>
      <c r="L161" s="5" t="str">
        <f>CONCATENATE("11 11.1 4b")</f>
        <v>11 11.1 4b</v>
      </c>
      <c r="M161" s="5" t="str">
        <f>CONCATENATE("FLCSFN67C54F520F")</f>
        <v>FLCSFN67C54F520F</v>
      </c>
      <c r="N161" s="5" t="s">
        <v>224</v>
      </c>
      <c r="O161" s="5" t="s">
        <v>207</v>
      </c>
      <c r="P161" s="6">
        <v>43987</v>
      </c>
      <c r="Q161" s="5" t="s">
        <v>31</v>
      </c>
      <c r="R161" s="5" t="s">
        <v>32</v>
      </c>
      <c r="S161" s="5" t="s">
        <v>33</v>
      </c>
      <c r="T161" s="5"/>
      <c r="U161" s="7">
        <v>4459.42</v>
      </c>
      <c r="V161" s="7">
        <v>1922.9</v>
      </c>
      <c r="W161" s="7">
        <v>1775.74</v>
      </c>
      <c r="X161" s="5">
        <v>0</v>
      </c>
      <c r="Y161" s="5">
        <v>760.78</v>
      </c>
    </row>
    <row r="162" spans="1:25" ht="24.75" x14ac:dyDescent="0.25">
      <c r="A162" s="5" t="s">
        <v>26</v>
      </c>
      <c r="B162" s="5" t="s">
        <v>38</v>
      </c>
      <c r="C162" s="5" t="s">
        <v>49</v>
      </c>
      <c r="D162" s="5" t="s">
        <v>50</v>
      </c>
      <c r="E162" s="5" t="s">
        <v>36</v>
      </c>
      <c r="F162" s="5" t="s">
        <v>36</v>
      </c>
      <c r="G162" s="5">
        <v>2019</v>
      </c>
      <c r="H162" s="5" t="str">
        <f>CONCATENATE("94240528698")</f>
        <v>94240528698</v>
      </c>
      <c r="I162" s="5" t="s">
        <v>29</v>
      </c>
      <c r="J162" s="5" t="s">
        <v>30</v>
      </c>
      <c r="K162" s="5" t="str">
        <f>CONCATENATE("")</f>
        <v/>
      </c>
      <c r="L162" s="5" t="str">
        <f>CONCATENATE("11 11.2 4b")</f>
        <v>11 11.2 4b</v>
      </c>
      <c r="M162" s="5" t="str">
        <f>CONCATENATE("CRMGNN75A27H769Q")</f>
        <v>CRMGNN75A27H769Q</v>
      </c>
      <c r="N162" s="5" t="s">
        <v>248</v>
      </c>
      <c r="O162" s="5" t="s">
        <v>207</v>
      </c>
      <c r="P162" s="6">
        <v>43987</v>
      </c>
      <c r="Q162" s="5" t="s">
        <v>31</v>
      </c>
      <c r="R162" s="5" t="s">
        <v>32</v>
      </c>
      <c r="S162" s="5" t="s">
        <v>33</v>
      </c>
      <c r="T162" s="5"/>
      <c r="U162" s="7">
        <v>4061.07</v>
      </c>
      <c r="V162" s="7">
        <v>1751.13</v>
      </c>
      <c r="W162" s="7">
        <v>1617.12</v>
      </c>
      <c r="X162" s="5">
        <v>0</v>
      </c>
      <c r="Y162" s="5">
        <v>692.82</v>
      </c>
    </row>
    <row r="163" spans="1:25" x14ac:dyDescent="0.25">
      <c r="A163" s="5" t="s">
        <v>26</v>
      </c>
      <c r="B163" s="5" t="s">
        <v>38</v>
      </c>
      <c r="C163" s="5" t="s">
        <v>49</v>
      </c>
      <c r="D163" s="5" t="s">
        <v>87</v>
      </c>
      <c r="E163" s="5" t="s">
        <v>39</v>
      </c>
      <c r="F163" s="5" t="s">
        <v>239</v>
      </c>
      <c r="G163" s="5">
        <v>2018</v>
      </c>
      <c r="H163" s="5" t="str">
        <f>CONCATENATE("84240483903")</f>
        <v>84240483903</v>
      </c>
      <c r="I163" s="5" t="s">
        <v>29</v>
      </c>
      <c r="J163" s="5" t="s">
        <v>30</v>
      </c>
      <c r="K163" s="5" t="str">
        <f>CONCATENATE("")</f>
        <v/>
      </c>
      <c r="L163" s="5" t="str">
        <f>CONCATENATE("11 11.2 4b")</f>
        <v>11 11.2 4b</v>
      </c>
      <c r="M163" s="5" t="str">
        <f>CONCATENATE("PLGFNC69P30C704L")</f>
        <v>PLGFNC69P30C704L</v>
      </c>
      <c r="N163" s="5" t="s">
        <v>240</v>
      </c>
      <c r="O163" s="5" t="s">
        <v>207</v>
      </c>
      <c r="P163" s="6">
        <v>43987</v>
      </c>
      <c r="Q163" s="5" t="s">
        <v>31</v>
      </c>
      <c r="R163" s="5" t="s">
        <v>32</v>
      </c>
      <c r="S163" s="5" t="s">
        <v>33</v>
      </c>
      <c r="T163" s="5"/>
      <c r="U163" s="7">
        <v>3527.95</v>
      </c>
      <c r="V163" s="7">
        <v>1521.25</v>
      </c>
      <c r="W163" s="7">
        <v>1404.83</v>
      </c>
      <c r="X163" s="5">
        <v>0</v>
      </c>
      <c r="Y163" s="5">
        <v>601.87</v>
      </c>
    </row>
    <row r="164" spans="1:25" x14ac:dyDescent="0.25">
      <c r="A164" s="5" t="s">
        <v>26</v>
      </c>
      <c r="B164" s="5" t="s">
        <v>38</v>
      </c>
      <c r="C164" s="5" t="s">
        <v>49</v>
      </c>
      <c r="D164" s="5" t="s">
        <v>87</v>
      </c>
      <c r="E164" s="5" t="s">
        <v>39</v>
      </c>
      <c r="F164" s="5" t="s">
        <v>239</v>
      </c>
      <c r="G164" s="5">
        <v>2018</v>
      </c>
      <c r="H164" s="5" t="str">
        <f>CONCATENATE("84240481311")</f>
        <v>84240481311</v>
      </c>
      <c r="I164" s="5" t="s">
        <v>29</v>
      </c>
      <c r="J164" s="5" t="s">
        <v>30</v>
      </c>
      <c r="K164" s="5" t="str">
        <f>CONCATENATE("")</f>
        <v/>
      </c>
      <c r="L164" s="5" t="str">
        <f>CONCATENATE("11 11.2 4b")</f>
        <v>11 11.2 4b</v>
      </c>
      <c r="M164" s="5" t="str">
        <f>CONCATENATE("PLGGNN68A02C704V")</f>
        <v>PLGGNN68A02C704V</v>
      </c>
      <c r="N164" s="5" t="s">
        <v>249</v>
      </c>
      <c r="O164" s="5" t="s">
        <v>207</v>
      </c>
      <c r="P164" s="6">
        <v>43987</v>
      </c>
      <c r="Q164" s="5" t="s">
        <v>31</v>
      </c>
      <c r="R164" s="5" t="s">
        <v>32</v>
      </c>
      <c r="S164" s="5" t="s">
        <v>33</v>
      </c>
      <c r="T164" s="5"/>
      <c r="U164" s="7">
        <v>4822.3100000000004</v>
      </c>
      <c r="V164" s="7">
        <v>2079.38</v>
      </c>
      <c r="W164" s="7">
        <v>1920.24</v>
      </c>
      <c r="X164" s="5">
        <v>0</v>
      </c>
      <c r="Y164" s="5">
        <v>822.69</v>
      </c>
    </row>
    <row r="165" spans="1:25" x14ac:dyDescent="0.25">
      <c r="A165" s="5" t="s">
        <v>26</v>
      </c>
      <c r="B165" s="5" t="s">
        <v>38</v>
      </c>
      <c r="C165" s="5" t="s">
        <v>49</v>
      </c>
      <c r="D165" s="5" t="s">
        <v>87</v>
      </c>
      <c r="E165" s="5" t="s">
        <v>39</v>
      </c>
      <c r="F165" s="5" t="s">
        <v>239</v>
      </c>
      <c r="G165" s="5">
        <v>2019</v>
      </c>
      <c r="H165" s="5" t="str">
        <f>CONCATENATE("94240839814")</f>
        <v>94240839814</v>
      </c>
      <c r="I165" s="5" t="s">
        <v>29</v>
      </c>
      <c r="J165" s="5" t="s">
        <v>30</v>
      </c>
      <c r="K165" s="5" t="str">
        <f>CONCATENATE("")</f>
        <v/>
      </c>
      <c r="L165" s="5" t="str">
        <f>CONCATENATE("11 11.2 4b")</f>
        <v>11 11.2 4b</v>
      </c>
      <c r="M165" s="5" t="str">
        <f>CONCATENATE("PLGGNN68A02C704V")</f>
        <v>PLGGNN68A02C704V</v>
      </c>
      <c r="N165" s="5" t="s">
        <v>249</v>
      </c>
      <c r="O165" s="5" t="s">
        <v>207</v>
      </c>
      <c r="P165" s="6">
        <v>43987</v>
      </c>
      <c r="Q165" s="5" t="s">
        <v>31</v>
      </c>
      <c r="R165" s="5" t="s">
        <v>32</v>
      </c>
      <c r="S165" s="5" t="s">
        <v>33</v>
      </c>
      <c r="T165" s="5"/>
      <c r="U165" s="7">
        <v>5563.6</v>
      </c>
      <c r="V165" s="7">
        <v>2399.02</v>
      </c>
      <c r="W165" s="7">
        <v>2215.4299999999998</v>
      </c>
      <c r="X165" s="5">
        <v>0</v>
      </c>
      <c r="Y165" s="5">
        <v>949.15</v>
      </c>
    </row>
    <row r="166" spans="1:25" x14ac:dyDescent="0.25">
      <c r="A166" s="5" t="s">
        <v>26</v>
      </c>
      <c r="B166" s="5" t="s">
        <v>38</v>
      </c>
      <c r="C166" s="5" t="s">
        <v>49</v>
      </c>
      <c r="D166" s="5" t="s">
        <v>87</v>
      </c>
      <c r="E166" s="5" t="s">
        <v>35</v>
      </c>
      <c r="F166" s="5" t="s">
        <v>214</v>
      </c>
      <c r="G166" s="5">
        <v>2019</v>
      </c>
      <c r="H166" s="5" t="str">
        <f>CONCATENATE("94241047185")</f>
        <v>94241047185</v>
      </c>
      <c r="I166" s="5" t="s">
        <v>29</v>
      </c>
      <c r="J166" s="5" t="s">
        <v>30</v>
      </c>
      <c r="K166" s="5" t="str">
        <f>CONCATENATE("")</f>
        <v/>
      </c>
      <c r="L166" s="5" t="str">
        <f>CONCATENATE("11 11.2 4b")</f>
        <v>11 11.2 4b</v>
      </c>
      <c r="M166" s="5" t="str">
        <f>CONCATENATE("BRNPDM96L02E783N")</f>
        <v>BRNPDM96L02E783N</v>
      </c>
      <c r="N166" s="5" t="s">
        <v>241</v>
      </c>
      <c r="O166" s="5" t="s">
        <v>207</v>
      </c>
      <c r="P166" s="6">
        <v>43987</v>
      </c>
      <c r="Q166" s="5" t="s">
        <v>31</v>
      </c>
      <c r="R166" s="5" t="s">
        <v>32</v>
      </c>
      <c r="S166" s="5" t="s">
        <v>33</v>
      </c>
      <c r="T166" s="5"/>
      <c r="U166" s="7">
        <v>16778.77</v>
      </c>
      <c r="V166" s="7">
        <v>7235.01</v>
      </c>
      <c r="W166" s="7">
        <v>6681.31</v>
      </c>
      <c r="X166" s="5">
        <v>0</v>
      </c>
      <c r="Y166" s="7">
        <v>2862.45</v>
      </c>
    </row>
    <row r="167" spans="1:25" x14ac:dyDescent="0.25">
      <c r="A167" s="5" t="s">
        <v>26</v>
      </c>
      <c r="B167" s="5" t="s">
        <v>38</v>
      </c>
      <c r="C167" s="5" t="s">
        <v>49</v>
      </c>
      <c r="D167" s="5" t="s">
        <v>87</v>
      </c>
      <c r="E167" s="5" t="s">
        <v>35</v>
      </c>
      <c r="F167" s="5" t="s">
        <v>214</v>
      </c>
      <c r="G167" s="5">
        <v>2019</v>
      </c>
      <c r="H167" s="5" t="str">
        <f>CONCATENATE("94241045940")</f>
        <v>94241045940</v>
      </c>
      <c r="I167" s="5" t="s">
        <v>29</v>
      </c>
      <c r="J167" s="5" t="s">
        <v>30</v>
      </c>
      <c r="K167" s="5" t="str">
        <f>CONCATENATE("")</f>
        <v/>
      </c>
      <c r="L167" s="5" t="str">
        <f>CONCATENATE("11 11.2 4b")</f>
        <v>11 11.2 4b</v>
      </c>
      <c r="M167" s="5" t="str">
        <f>CONCATENATE("BRNPDM96L02E783N")</f>
        <v>BRNPDM96L02E783N</v>
      </c>
      <c r="N167" s="5" t="s">
        <v>241</v>
      </c>
      <c r="O167" s="5" t="s">
        <v>207</v>
      </c>
      <c r="P167" s="6">
        <v>43987</v>
      </c>
      <c r="Q167" s="5" t="s">
        <v>31</v>
      </c>
      <c r="R167" s="5" t="s">
        <v>32</v>
      </c>
      <c r="S167" s="5" t="s">
        <v>33</v>
      </c>
      <c r="T167" s="5"/>
      <c r="U167" s="7">
        <v>2478.79</v>
      </c>
      <c r="V167" s="7">
        <v>1068.8499999999999</v>
      </c>
      <c r="W167" s="5">
        <v>987.05</v>
      </c>
      <c r="X167" s="5">
        <v>0</v>
      </c>
      <c r="Y167" s="5">
        <v>422.89</v>
      </c>
    </row>
    <row r="168" spans="1:25" x14ac:dyDescent="0.25">
      <c r="A168" s="5" t="s">
        <v>26</v>
      </c>
      <c r="B168" s="5" t="s">
        <v>38</v>
      </c>
      <c r="C168" s="5" t="s">
        <v>49</v>
      </c>
      <c r="D168" s="5" t="s">
        <v>87</v>
      </c>
      <c r="E168" s="5" t="s">
        <v>45</v>
      </c>
      <c r="F168" s="5" t="s">
        <v>121</v>
      </c>
      <c r="G168" s="5">
        <v>2018</v>
      </c>
      <c r="H168" s="5" t="str">
        <f>CONCATENATE("84240246169")</f>
        <v>84240246169</v>
      </c>
      <c r="I168" s="5" t="s">
        <v>29</v>
      </c>
      <c r="J168" s="5" t="s">
        <v>30</v>
      </c>
      <c r="K168" s="5" t="str">
        <f>CONCATENATE("")</f>
        <v/>
      </c>
      <c r="L168" s="5" t="str">
        <f>CONCATENATE("11 11.1 4b")</f>
        <v>11 11.1 4b</v>
      </c>
      <c r="M168" s="5" t="str">
        <f>CONCATENATE("SNTLRA76A58F347J")</f>
        <v>SNTLRA76A58F347J</v>
      </c>
      <c r="N168" s="5" t="s">
        <v>250</v>
      </c>
      <c r="O168" s="5" t="s">
        <v>207</v>
      </c>
      <c r="P168" s="6">
        <v>43987</v>
      </c>
      <c r="Q168" s="5" t="s">
        <v>31</v>
      </c>
      <c r="R168" s="5" t="s">
        <v>32</v>
      </c>
      <c r="S168" s="5" t="s">
        <v>33</v>
      </c>
      <c r="T168" s="5"/>
      <c r="U168" s="5">
        <v>63.24</v>
      </c>
      <c r="V168" s="5">
        <v>27.27</v>
      </c>
      <c r="W168" s="5">
        <v>25.18</v>
      </c>
      <c r="X168" s="5">
        <v>0</v>
      </c>
      <c r="Y168" s="5">
        <v>10.79</v>
      </c>
    </row>
    <row r="169" spans="1:25" x14ac:dyDescent="0.25">
      <c r="A169" s="5" t="s">
        <v>26</v>
      </c>
      <c r="B169" s="5" t="s">
        <v>38</v>
      </c>
      <c r="C169" s="5" t="s">
        <v>49</v>
      </c>
      <c r="D169" s="5" t="s">
        <v>87</v>
      </c>
      <c r="E169" s="5" t="s">
        <v>39</v>
      </c>
      <c r="F169" s="5" t="s">
        <v>130</v>
      </c>
      <c r="G169" s="5">
        <v>2019</v>
      </c>
      <c r="H169" s="5" t="str">
        <f>CONCATENATE("94240929714")</f>
        <v>94240929714</v>
      </c>
      <c r="I169" s="5" t="s">
        <v>29</v>
      </c>
      <c r="J169" s="5" t="s">
        <v>30</v>
      </c>
      <c r="K169" s="5" t="str">
        <f>CONCATENATE("")</f>
        <v/>
      </c>
      <c r="L169" s="5" t="str">
        <f>CONCATENATE("11 11.2 4b")</f>
        <v>11 11.2 4b</v>
      </c>
      <c r="M169" s="5" t="str">
        <f>CONCATENATE("01110060439")</f>
        <v>01110060439</v>
      </c>
      <c r="N169" s="5" t="s">
        <v>251</v>
      </c>
      <c r="O169" s="5" t="s">
        <v>207</v>
      </c>
      <c r="P169" s="6">
        <v>43987</v>
      </c>
      <c r="Q169" s="5" t="s">
        <v>31</v>
      </c>
      <c r="R169" s="5" t="s">
        <v>32</v>
      </c>
      <c r="S169" s="5" t="s">
        <v>33</v>
      </c>
      <c r="T169" s="5"/>
      <c r="U169" s="7">
        <v>7339.06</v>
      </c>
      <c r="V169" s="7">
        <v>3164.6</v>
      </c>
      <c r="W169" s="7">
        <v>2922.41</v>
      </c>
      <c r="X169" s="5">
        <v>0</v>
      </c>
      <c r="Y169" s="7">
        <v>1252.05</v>
      </c>
    </row>
    <row r="170" spans="1:25" ht="24.75" x14ac:dyDescent="0.25">
      <c r="A170" s="5" t="s">
        <v>26</v>
      </c>
      <c r="B170" s="5" t="s">
        <v>38</v>
      </c>
      <c r="C170" s="5" t="s">
        <v>49</v>
      </c>
      <c r="D170" s="5" t="s">
        <v>87</v>
      </c>
      <c r="E170" s="5" t="s">
        <v>39</v>
      </c>
      <c r="F170" s="5" t="s">
        <v>143</v>
      </c>
      <c r="G170" s="5">
        <v>2019</v>
      </c>
      <c r="H170" s="5" t="str">
        <f>CONCATENATE("94240773336")</f>
        <v>94240773336</v>
      </c>
      <c r="I170" s="5" t="s">
        <v>29</v>
      </c>
      <c r="J170" s="5" t="s">
        <v>30</v>
      </c>
      <c r="K170" s="5" t="str">
        <f>CONCATENATE("")</f>
        <v/>
      </c>
      <c r="L170" s="5" t="str">
        <f>CONCATENATE("11 11.2 4b")</f>
        <v>11 11.2 4b</v>
      </c>
      <c r="M170" s="5" t="str">
        <f>CONCATENATE("01892120435")</f>
        <v>01892120435</v>
      </c>
      <c r="N170" s="5" t="s">
        <v>252</v>
      </c>
      <c r="O170" s="5" t="s">
        <v>207</v>
      </c>
      <c r="P170" s="6">
        <v>43987</v>
      </c>
      <c r="Q170" s="5" t="s">
        <v>31</v>
      </c>
      <c r="R170" s="5" t="s">
        <v>32</v>
      </c>
      <c r="S170" s="5" t="s">
        <v>33</v>
      </c>
      <c r="T170" s="5"/>
      <c r="U170" s="7">
        <v>4003.51</v>
      </c>
      <c r="V170" s="7">
        <v>1726.31</v>
      </c>
      <c r="W170" s="7">
        <v>1594.2</v>
      </c>
      <c r="X170" s="5">
        <v>0</v>
      </c>
      <c r="Y170" s="5">
        <v>683</v>
      </c>
    </row>
    <row r="171" spans="1:25" x14ac:dyDescent="0.25">
      <c r="A171" s="5" t="s">
        <v>26</v>
      </c>
      <c r="B171" s="5" t="s">
        <v>38</v>
      </c>
      <c r="C171" s="5" t="s">
        <v>49</v>
      </c>
      <c r="D171" s="5" t="s">
        <v>87</v>
      </c>
      <c r="E171" s="5" t="s">
        <v>34</v>
      </c>
      <c r="F171" s="5" t="s">
        <v>218</v>
      </c>
      <c r="G171" s="5">
        <v>2019</v>
      </c>
      <c r="H171" s="5" t="str">
        <f>CONCATENATE("94240736986")</f>
        <v>94240736986</v>
      </c>
      <c r="I171" s="5" t="s">
        <v>29</v>
      </c>
      <c r="J171" s="5" t="s">
        <v>30</v>
      </c>
      <c r="K171" s="5" t="str">
        <f>CONCATENATE("")</f>
        <v/>
      </c>
      <c r="L171" s="5" t="str">
        <f>CONCATENATE("11 11.2 4b")</f>
        <v>11 11.2 4b</v>
      </c>
      <c r="M171" s="5" t="str">
        <f>CONCATENATE("CCHDMN79H24G516R")</f>
        <v>CCHDMN79H24G516R</v>
      </c>
      <c r="N171" s="5" t="s">
        <v>253</v>
      </c>
      <c r="O171" s="5" t="s">
        <v>207</v>
      </c>
      <c r="P171" s="6">
        <v>43987</v>
      </c>
      <c r="Q171" s="5" t="s">
        <v>31</v>
      </c>
      <c r="R171" s="5" t="s">
        <v>32</v>
      </c>
      <c r="S171" s="5" t="s">
        <v>33</v>
      </c>
      <c r="T171" s="5"/>
      <c r="U171" s="7">
        <v>1406.22</v>
      </c>
      <c r="V171" s="5">
        <v>606.36</v>
      </c>
      <c r="W171" s="5">
        <v>559.96</v>
      </c>
      <c r="X171" s="5">
        <v>0</v>
      </c>
      <c r="Y171" s="5">
        <v>239.9</v>
      </c>
    </row>
    <row r="172" spans="1:25" ht="24.75" x14ac:dyDescent="0.25">
      <c r="A172" s="5" t="s">
        <v>26</v>
      </c>
      <c r="B172" s="5" t="s">
        <v>38</v>
      </c>
      <c r="C172" s="5" t="s">
        <v>49</v>
      </c>
      <c r="D172" s="5" t="s">
        <v>87</v>
      </c>
      <c r="E172" s="5" t="s">
        <v>39</v>
      </c>
      <c r="F172" s="5" t="s">
        <v>143</v>
      </c>
      <c r="G172" s="5">
        <v>2018</v>
      </c>
      <c r="H172" s="5" t="str">
        <f>CONCATENATE("84240707640")</f>
        <v>84240707640</v>
      </c>
      <c r="I172" s="5" t="s">
        <v>29</v>
      </c>
      <c r="J172" s="5" t="s">
        <v>30</v>
      </c>
      <c r="K172" s="5" t="str">
        <f>CONCATENATE("")</f>
        <v/>
      </c>
      <c r="L172" s="5" t="str">
        <f>CONCATENATE("11 11.2 4b")</f>
        <v>11 11.2 4b</v>
      </c>
      <c r="M172" s="5" t="str">
        <f>CONCATENATE("01892120435")</f>
        <v>01892120435</v>
      </c>
      <c r="N172" s="5" t="s">
        <v>252</v>
      </c>
      <c r="O172" s="5" t="s">
        <v>207</v>
      </c>
      <c r="P172" s="6">
        <v>43987</v>
      </c>
      <c r="Q172" s="5" t="s">
        <v>31</v>
      </c>
      <c r="R172" s="5" t="s">
        <v>32</v>
      </c>
      <c r="S172" s="5" t="s">
        <v>33</v>
      </c>
      <c r="T172" s="5"/>
      <c r="U172" s="7">
        <v>4003.51</v>
      </c>
      <c r="V172" s="7">
        <v>1726.31</v>
      </c>
      <c r="W172" s="7">
        <v>1594.2</v>
      </c>
      <c r="X172" s="5">
        <v>0</v>
      </c>
      <c r="Y172" s="5">
        <v>683</v>
      </c>
    </row>
    <row r="173" spans="1:25" ht="24.75" x14ac:dyDescent="0.25">
      <c r="A173" s="5" t="s">
        <v>26</v>
      </c>
      <c r="B173" s="5" t="s">
        <v>38</v>
      </c>
      <c r="C173" s="5" t="s">
        <v>49</v>
      </c>
      <c r="D173" s="5" t="s">
        <v>50</v>
      </c>
      <c r="E173" s="5" t="s">
        <v>36</v>
      </c>
      <c r="F173" s="5" t="s">
        <v>36</v>
      </c>
      <c r="G173" s="5">
        <v>2019</v>
      </c>
      <c r="H173" s="5" t="str">
        <f>CONCATENATE("94240004302")</f>
        <v>94240004302</v>
      </c>
      <c r="I173" s="5" t="s">
        <v>41</v>
      </c>
      <c r="J173" s="5" t="s">
        <v>30</v>
      </c>
      <c r="K173" s="5" t="str">
        <f>CONCATENATE("")</f>
        <v/>
      </c>
      <c r="L173" s="5" t="str">
        <f>CONCATENATE("11 11.2 4b")</f>
        <v>11 11.2 4b</v>
      </c>
      <c r="M173" s="5" t="str">
        <f>CONCATENATE("CRRRNT69A03G005I")</f>
        <v>CRRRNT69A03G005I</v>
      </c>
      <c r="N173" s="5" t="s">
        <v>254</v>
      </c>
      <c r="O173" s="5" t="s">
        <v>207</v>
      </c>
      <c r="P173" s="6">
        <v>43987</v>
      </c>
      <c r="Q173" s="5" t="s">
        <v>31</v>
      </c>
      <c r="R173" s="5" t="s">
        <v>32</v>
      </c>
      <c r="S173" s="5" t="s">
        <v>33</v>
      </c>
      <c r="T173" s="5"/>
      <c r="U173" s="5">
        <v>84.53</v>
      </c>
      <c r="V173" s="5">
        <v>36.450000000000003</v>
      </c>
      <c r="W173" s="5">
        <v>33.659999999999997</v>
      </c>
      <c r="X173" s="5">
        <v>0</v>
      </c>
      <c r="Y173" s="5">
        <v>14.42</v>
      </c>
    </row>
    <row r="174" spans="1:25" ht="24.75" x14ac:dyDescent="0.25">
      <c r="A174" s="5" t="s">
        <v>26</v>
      </c>
      <c r="B174" s="5" t="s">
        <v>38</v>
      </c>
      <c r="C174" s="5" t="s">
        <v>49</v>
      </c>
      <c r="D174" s="5" t="s">
        <v>50</v>
      </c>
      <c r="E174" s="5" t="s">
        <v>39</v>
      </c>
      <c r="F174" s="5" t="s">
        <v>51</v>
      </c>
      <c r="G174" s="5">
        <v>2019</v>
      </c>
      <c r="H174" s="5" t="str">
        <f>CONCATENATE("94240880685")</f>
        <v>94240880685</v>
      </c>
      <c r="I174" s="5" t="s">
        <v>29</v>
      </c>
      <c r="J174" s="5" t="s">
        <v>30</v>
      </c>
      <c r="K174" s="5" t="str">
        <f>CONCATENATE("")</f>
        <v/>
      </c>
      <c r="L174" s="5" t="str">
        <f>CONCATENATE("11 11.2 4b")</f>
        <v>11 11.2 4b</v>
      </c>
      <c r="M174" s="5" t="str">
        <f>CONCATENATE("SNTGRL64T09A437R")</f>
        <v>SNTGRL64T09A437R</v>
      </c>
      <c r="N174" s="5" t="s">
        <v>255</v>
      </c>
      <c r="O174" s="5" t="s">
        <v>207</v>
      </c>
      <c r="P174" s="6">
        <v>43987</v>
      </c>
      <c r="Q174" s="5" t="s">
        <v>31</v>
      </c>
      <c r="R174" s="5" t="s">
        <v>32</v>
      </c>
      <c r="S174" s="5" t="s">
        <v>33</v>
      </c>
      <c r="T174" s="5"/>
      <c r="U174" s="7">
        <v>5262.48</v>
      </c>
      <c r="V174" s="7">
        <v>2269.1799999999998</v>
      </c>
      <c r="W174" s="7">
        <v>2095.52</v>
      </c>
      <c r="X174" s="5">
        <v>0</v>
      </c>
      <c r="Y174" s="5">
        <v>897.78</v>
      </c>
    </row>
    <row r="175" spans="1:25" ht="24.75" x14ac:dyDescent="0.25">
      <c r="A175" s="5" t="s">
        <v>26</v>
      </c>
      <c r="B175" s="5" t="s">
        <v>38</v>
      </c>
      <c r="C175" s="5" t="s">
        <v>49</v>
      </c>
      <c r="D175" s="5" t="s">
        <v>50</v>
      </c>
      <c r="E175" s="5" t="s">
        <v>39</v>
      </c>
      <c r="F175" s="5" t="s">
        <v>66</v>
      </c>
      <c r="G175" s="5">
        <v>2019</v>
      </c>
      <c r="H175" s="5" t="str">
        <f>CONCATENATE("94240690183")</f>
        <v>94240690183</v>
      </c>
      <c r="I175" s="5" t="s">
        <v>29</v>
      </c>
      <c r="J175" s="5" t="s">
        <v>30</v>
      </c>
      <c r="K175" s="5" t="str">
        <f>CONCATENATE("")</f>
        <v/>
      </c>
      <c r="L175" s="5" t="str">
        <f>CONCATENATE("11 11.1 4b")</f>
        <v>11 11.1 4b</v>
      </c>
      <c r="M175" s="5" t="str">
        <f>CONCATENATE("LLMDNL83D46H769K")</f>
        <v>LLMDNL83D46H769K</v>
      </c>
      <c r="N175" s="5" t="s">
        <v>256</v>
      </c>
      <c r="O175" s="5" t="s">
        <v>207</v>
      </c>
      <c r="P175" s="6">
        <v>43987</v>
      </c>
      <c r="Q175" s="5" t="s">
        <v>31</v>
      </c>
      <c r="R175" s="5" t="s">
        <v>32</v>
      </c>
      <c r="S175" s="5" t="s">
        <v>33</v>
      </c>
      <c r="T175" s="5"/>
      <c r="U175" s="7">
        <v>2119.13</v>
      </c>
      <c r="V175" s="5">
        <v>913.77</v>
      </c>
      <c r="W175" s="5">
        <v>843.84</v>
      </c>
      <c r="X175" s="5">
        <v>0</v>
      </c>
      <c r="Y175" s="5">
        <v>361.52</v>
      </c>
    </row>
    <row r="176" spans="1:25" ht="24.75" x14ac:dyDescent="0.25">
      <c r="A176" s="5" t="s">
        <v>26</v>
      </c>
      <c r="B176" s="5" t="s">
        <v>38</v>
      </c>
      <c r="C176" s="5" t="s">
        <v>49</v>
      </c>
      <c r="D176" s="5" t="s">
        <v>50</v>
      </c>
      <c r="E176" s="5" t="s">
        <v>34</v>
      </c>
      <c r="F176" s="5" t="s">
        <v>218</v>
      </c>
      <c r="G176" s="5">
        <v>2019</v>
      </c>
      <c r="H176" s="5" t="str">
        <f>CONCATENATE("94240069768")</f>
        <v>94240069768</v>
      </c>
      <c r="I176" s="5" t="s">
        <v>29</v>
      </c>
      <c r="J176" s="5" t="s">
        <v>30</v>
      </c>
      <c r="K176" s="5" t="str">
        <f>CONCATENATE("")</f>
        <v/>
      </c>
      <c r="L176" s="5" t="str">
        <f>CONCATENATE("11 11.1 4b")</f>
        <v>11 11.1 4b</v>
      </c>
      <c r="M176" s="5" t="str">
        <f>CONCATENATE("MNAMRC82A16L949T")</f>
        <v>MNAMRC82A16L949T</v>
      </c>
      <c r="N176" s="5" t="s">
        <v>257</v>
      </c>
      <c r="O176" s="5" t="s">
        <v>207</v>
      </c>
      <c r="P176" s="6">
        <v>43987</v>
      </c>
      <c r="Q176" s="5" t="s">
        <v>31</v>
      </c>
      <c r="R176" s="5" t="s">
        <v>32</v>
      </c>
      <c r="S176" s="5" t="s">
        <v>33</v>
      </c>
      <c r="T176" s="5"/>
      <c r="U176" s="5">
        <v>75.23</v>
      </c>
      <c r="V176" s="5">
        <v>32.44</v>
      </c>
      <c r="W176" s="5">
        <v>29.96</v>
      </c>
      <c r="X176" s="5">
        <v>0</v>
      </c>
      <c r="Y176" s="5">
        <v>12.83</v>
      </c>
    </row>
    <row r="177" spans="1:25" ht="24.75" x14ac:dyDescent="0.25">
      <c r="A177" s="5" t="s">
        <v>26</v>
      </c>
      <c r="B177" s="5" t="s">
        <v>38</v>
      </c>
      <c r="C177" s="5" t="s">
        <v>49</v>
      </c>
      <c r="D177" s="5" t="s">
        <v>50</v>
      </c>
      <c r="E177" s="5" t="s">
        <v>44</v>
      </c>
      <c r="F177" s="5" t="s">
        <v>205</v>
      </c>
      <c r="G177" s="5">
        <v>2019</v>
      </c>
      <c r="H177" s="5" t="str">
        <f>CONCATENATE("94240985468")</f>
        <v>94240985468</v>
      </c>
      <c r="I177" s="5" t="s">
        <v>41</v>
      </c>
      <c r="J177" s="5" t="s">
        <v>30</v>
      </c>
      <c r="K177" s="5" t="str">
        <f>CONCATENATE("")</f>
        <v/>
      </c>
      <c r="L177" s="5" t="str">
        <f>CONCATENATE("11 11.2 4b")</f>
        <v>11 11.2 4b</v>
      </c>
      <c r="M177" s="5" t="str">
        <f>CONCATENATE("DNGSML94P23H769O")</f>
        <v>DNGSML94P23H769O</v>
      </c>
      <c r="N177" s="5" t="s">
        <v>258</v>
      </c>
      <c r="O177" s="5" t="s">
        <v>207</v>
      </c>
      <c r="P177" s="6">
        <v>43987</v>
      </c>
      <c r="Q177" s="5" t="s">
        <v>31</v>
      </c>
      <c r="R177" s="5" t="s">
        <v>32</v>
      </c>
      <c r="S177" s="5" t="s">
        <v>33</v>
      </c>
      <c r="T177" s="5"/>
      <c r="U177" s="5">
        <v>498.48</v>
      </c>
      <c r="V177" s="5">
        <v>214.94</v>
      </c>
      <c r="W177" s="5">
        <v>198.49</v>
      </c>
      <c r="X177" s="5">
        <v>0</v>
      </c>
      <c r="Y177" s="5">
        <v>85.05</v>
      </c>
    </row>
    <row r="178" spans="1:25" ht="24.75" x14ac:dyDescent="0.25">
      <c r="A178" s="5" t="s">
        <v>26</v>
      </c>
      <c r="B178" s="5" t="s">
        <v>38</v>
      </c>
      <c r="C178" s="5" t="s">
        <v>49</v>
      </c>
      <c r="D178" s="5" t="s">
        <v>50</v>
      </c>
      <c r="E178" s="5" t="s">
        <v>44</v>
      </c>
      <c r="F178" s="5" t="s">
        <v>205</v>
      </c>
      <c r="G178" s="5">
        <v>2019</v>
      </c>
      <c r="H178" s="5" t="str">
        <f>CONCATENATE("94240985278")</f>
        <v>94240985278</v>
      </c>
      <c r="I178" s="5" t="s">
        <v>41</v>
      </c>
      <c r="J178" s="5" t="s">
        <v>30</v>
      </c>
      <c r="K178" s="5" t="str">
        <f>CONCATENATE("")</f>
        <v/>
      </c>
      <c r="L178" s="5" t="str">
        <f>CONCATENATE("11 11.2 4b")</f>
        <v>11 11.2 4b</v>
      </c>
      <c r="M178" s="5" t="str">
        <f>CONCATENATE("DNGSML94P23H769O")</f>
        <v>DNGSML94P23H769O</v>
      </c>
      <c r="N178" s="5" t="s">
        <v>258</v>
      </c>
      <c r="O178" s="5" t="s">
        <v>207</v>
      </c>
      <c r="P178" s="6">
        <v>43987</v>
      </c>
      <c r="Q178" s="5" t="s">
        <v>31</v>
      </c>
      <c r="R178" s="5" t="s">
        <v>32</v>
      </c>
      <c r="S178" s="5" t="s">
        <v>33</v>
      </c>
      <c r="T178" s="5"/>
      <c r="U178" s="5">
        <v>157.41</v>
      </c>
      <c r="V178" s="5">
        <v>67.88</v>
      </c>
      <c r="W178" s="5">
        <v>62.68</v>
      </c>
      <c r="X178" s="5">
        <v>0</v>
      </c>
      <c r="Y178" s="5">
        <v>26.85</v>
      </c>
    </row>
    <row r="179" spans="1:25" ht="24.75" x14ac:dyDescent="0.25">
      <c r="A179" s="5" t="s">
        <v>26</v>
      </c>
      <c r="B179" s="5" t="s">
        <v>38</v>
      </c>
      <c r="C179" s="5" t="s">
        <v>49</v>
      </c>
      <c r="D179" s="5" t="s">
        <v>50</v>
      </c>
      <c r="E179" s="5" t="s">
        <v>44</v>
      </c>
      <c r="F179" s="5" t="s">
        <v>205</v>
      </c>
      <c r="G179" s="5">
        <v>2019</v>
      </c>
      <c r="H179" s="5" t="str">
        <f>CONCATENATE("94240985500")</f>
        <v>94240985500</v>
      </c>
      <c r="I179" s="5" t="s">
        <v>41</v>
      </c>
      <c r="J179" s="5" t="s">
        <v>30</v>
      </c>
      <c r="K179" s="5" t="str">
        <f>CONCATENATE("")</f>
        <v/>
      </c>
      <c r="L179" s="5" t="str">
        <f>CONCATENATE("11 11.2 4b")</f>
        <v>11 11.2 4b</v>
      </c>
      <c r="M179" s="5" t="str">
        <f>CONCATENATE("DNGSML94P23H769O")</f>
        <v>DNGSML94P23H769O</v>
      </c>
      <c r="N179" s="5" t="s">
        <v>258</v>
      </c>
      <c r="O179" s="5" t="s">
        <v>207</v>
      </c>
      <c r="P179" s="6">
        <v>43987</v>
      </c>
      <c r="Q179" s="5" t="s">
        <v>31</v>
      </c>
      <c r="R179" s="5" t="s">
        <v>32</v>
      </c>
      <c r="S179" s="5" t="s">
        <v>33</v>
      </c>
      <c r="T179" s="5"/>
      <c r="U179" s="7">
        <v>3028.56</v>
      </c>
      <c r="V179" s="7">
        <v>1305.92</v>
      </c>
      <c r="W179" s="7">
        <v>1205.97</v>
      </c>
      <c r="X179" s="5">
        <v>0</v>
      </c>
      <c r="Y179" s="5">
        <v>516.66999999999996</v>
      </c>
    </row>
    <row r="180" spans="1:25" ht="24.75" x14ac:dyDescent="0.25">
      <c r="A180" s="5" t="s">
        <v>26</v>
      </c>
      <c r="B180" s="5" t="s">
        <v>38</v>
      </c>
      <c r="C180" s="5" t="s">
        <v>49</v>
      </c>
      <c r="D180" s="5" t="s">
        <v>50</v>
      </c>
      <c r="E180" s="5" t="s">
        <v>43</v>
      </c>
      <c r="F180" s="5" t="s">
        <v>259</v>
      </c>
      <c r="G180" s="5">
        <v>2019</v>
      </c>
      <c r="H180" s="5" t="str">
        <f>CONCATENATE("94240993231")</f>
        <v>94240993231</v>
      </c>
      <c r="I180" s="5" t="s">
        <v>29</v>
      </c>
      <c r="J180" s="5" t="s">
        <v>30</v>
      </c>
      <c r="K180" s="5" t="str">
        <f>CONCATENATE("")</f>
        <v/>
      </c>
      <c r="L180" s="5" t="str">
        <f>CONCATENATE("11 11.2 4b")</f>
        <v>11 11.2 4b</v>
      </c>
      <c r="M180" s="5" t="str">
        <f>CONCATENATE("SNTSRN75R65H501R")</f>
        <v>SNTSRN75R65H501R</v>
      </c>
      <c r="N180" s="5" t="s">
        <v>260</v>
      </c>
      <c r="O180" s="5" t="s">
        <v>207</v>
      </c>
      <c r="P180" s="6">
        <v>43987</v>
      </c>
      <c r="Q180" s="5" t="s">
        <v>31</v>
      </c>
      <c r="R180" s="5" t="s">
        <v>32</v>
      </c>
      <c r="S180" s="5" t="s">
        <v>33</v>
      </c>
      <c r="T180" s="5"/>
      <c r="U180" s="5">
        <v>269.77</v>
      </c>
      <c r="V180" s="5">
        <v>116.32</v>
      </c>
      <c r="W180" s="5">
        <v>107.42</v>
      </c>
      <c r="X180" s="5">
        <v>0</v>
      </c>
      <c r="Y180" s="5">
        <v>46.03</v>
      </c>
    </row>
    <row r="181" spans="1:25" ht="24.75" x14ac:dyDescent="0.25">
      <c r="A181" s="5" t="s">
        <v>26</v>
      </c>
      <c r="B181" s="5" t="s">
        <v>38</v>
      </c>
      <c r="C181" s="5" t="s">
        <v>49</v>
      </c>
      <c r="D181" s="5" t="s">
        <v>58</v>
      </c>
      <c r="E181" s="5" t="s">
        <v>39</v>
      </c>
      <c r="F181" s="5" t="s">
        <v>69</v>
      </c>
      <c r="G181" s="5">
        <v>2019</v>
      </c>
      <c r="H181" s="5" t="str">
        <f>CONCATENATE("94240890114")</f>
        <v>94240890114</v>
      </c>
      <c r="I181" s="5" t="s">
        <v>29</v>
      </c>
      <c r="J181" s="5" t="s">
        <v>30</v>
      </c>
      <c r="K181" s="5" t="str">
        <f>CONCATENATE("")</f>
        <v/>
      </c>
      <c r="L181" s="5" t="str">
        <f>CONCATENATE("11 11.2 4b")</f>
        <v>11 11.2 4b</v>
      </c>
      <c r="M181" s="5" t="str">
        <f>CONCATENATE("LCRRRT66C05B846G")</f>
        <v>LCRRRT66C05B846G</v>
      </c>
      <c r="N181" s="5" t="s">
        <v>261</v>
      </c>
      <c r="O181" s="5" t="s">
        <v>207</v>
      </c>
      <c r="P181" s="6">
        <v>43987</v>
      </c>
      <c r="Q181" s="5" t="s">
        <v>31</v>
      </c>
      <c r="R181" s="5" t="s">
        <v>32</v>
      </c>
      <c r="S181" s="5" t="s">
        <v>33</v>
      </c>
      <c r="T181" s="5"/>
      <c r="U181" s="7">
        <v>2833.75</v>
      </c>
      <c r="V181" s="7">
        <v>1221.9100000000001</v>
      </c>
      <c r="W181" s="7">
        <v>1128.4000000000001</v>
      </c>
      <c r="X181" s="5">
        <v>0</v>
      </c>
      <c r="Y181" s="5">
        <v>483.44</v>
      </c>
    </row>
    <row r="182" spans="1:25" ht="24.75" x14ac:dyDescent="0.25">
      <c r="A182" s="5" t="s">
        <v>26</v>
      </c>
      <c r="B182" s="5" t="s">
        <v>38</v>
      </c>
      <c r="C182" s="5" t="s">
        <v>49</v>
      </c>
      <c r="D182" s="5" t="s">
        <v>58</v>
      </c>
      <c r="E182" s="5" t="s">
        <v>44</v>
      </c>
      <c r="F182" s="5" t="s">
        <v>262</v>
      </c>
      <c r="G182" s="5">
        <v>2019</v>
      </c>
      <c r="H182" s="5" t="str">
        <f>CONCATENATE("94240740574")</f>
        <v>94240740574</v>
      </c>
      <c r="I182" s="5" t="s">
        <v>29</v>
      </c>
      <c r="J182" s="5" t="s">
        <v>30</v>
      </c>
      <c r="K182" s="5" t="str">
        <f>CONCATENATE("")</f>
        <v/>
      </c>
      <c r="L182" s="5" t="str">
        <f>CONCATENATE("11 11.2 4b")</f>
        <v>11 11.2 4b</v>
      </c>
      <c r="M182" s="5" t="str">
        <f>CONCATENATE("PRNGNN82D23D488Z")</f>
        <v>PRNGNN82D23D488Z</v>
      </c>
      <c r="N182" s="5" t="s">
        <v>263</v>
      </c>
      <c r="O182" s="5" t="s">
        <v>207</v>
      </c>
      <c r="P182" s="6">
        <v>43987</v>
      </c>
      <c r="Q182" s="5" t="s">
        <v>31</v>
      </c>
      <c r="R182" s="5" t="s">
        <v>32</v>
      </c>
      <c r="S182" s="5" t="s">
        <v>33</v>
      </c>
      <c r="T182" s="5"/>
      <c r="U182" s="5">
        <v>346.2</v>
      </c>
      <c r="V182" s="5">
        <v>149.28</v>
      </c>
      <c r="W182" s="5">
        <v>137.86000000000001</v>
      </c>
      <c r="X182" s="5">
        <v>0</v>
      </c>
      <c r="Y182" s="5">
        <v>59.06</v>
      </c>
    </row>
    <row r="183" spans="1:25" ht="24.75" x14ac:dyDescent="0.25">
      <c r="A183" s="5" t="s">
        <v>26</v>
      </c>
      <c r="B183" s="5" t="s">
        <v>38</v>
      </c>
      <c r="C183" s="5" t="s">
        <v>49</v>
      </c>
      <c r="D183" s="5" t="s">
        <v>50</v>
      </c>
      <c r="E183" s="5" t="s">
        <v>39</v>
      </c>
      <c r="F183" s="5" t="s">
        <v>66</v>
      </c>
      <c r="G183" s="5">
        <v>2019</v>
      </c>
      <c r="H183" s="5" t="str">
        <f>CONCATENATE("94240342793")</f>
        <v>94240342793</v>
      </c>
      <c r="I183" s="5" t="s">
        <v>41</v>
      </c>
      <c r="J183" s="5" t="s">
        <v>30</v>
      </c>
      <c r="K183" s="5" t="str">
        <f>CONCATENATE("")</f>
        <v/>
      </c>
      <c r="L183" s="5" t="str">
        <f>CONCATENATE("11 11.1 4b")</f>
        <v>11 11.1 4b</v>
      </c>
      <c r="M183" s="5" t="str">
        <f>CONCATENATE("PSTDNC60R11F415I")</f>
        <v>PSTDNC60R11F415I</v>
      </c>
      <c r="N183" s="5" t="s">
        <v>264</v>
      </c>
      <c r="O183" s="5" t="s">
        <v>207</v>
      </c>
      <c r="P183" s="6">
        <v>43987</v>
      </c>
      <c r="Q183" s="5" t="s">
        <v>31</v>
      </c>
      <c r="R183" s="5" t="s">
        <v>32</v>
      </c>
      <c r="S183" s="5" t="s">
        <v>33</v>
      </c>
      <c r="T183" s="5"/>
      <c r="U183" s="5">
        <v>153.32</v>
      </c>
      <c r="V183" s="5">
        <v>66.11</v>
      </c>
      <c r="W183" s="5">
        <v>61.05</v>
      </c>
      <c r="X183" s="5">
        <v>0</v>
      </c>
      <c r="Y183" s="5">
        <v>26.16</v>
      </c>
    </row>
    <row r="184" spans="1:25" ht="24.75" x14ac:dyDescent="0.25">
      <c r="A184" s="5" t="s">
        <v>26</v>
      </c>
      <c r="B184" s="5" t="s">
        <v>38</v>
      </c>
      <c r="C184" s="5" t="s">
        <v>49</v>
      </c>
      <c r="D184" s="5" t="s">
        <v>54</v>
      </c>
      <c r="E184" s="5" t="s">
        <v>45</v>
      </c>
      <c r="F184" s="5" t="s">
        <v>125</v>
      </c>
      <c r="G184" s="5">
        <v>2019</v>
      </c>
      <c r="H184" s="5" t="str">
        <f>CONCATENATE("94240192586")</f>
        <v>94240192586</v>
      </c>
      <c r="I184" s="5" t="s">
        <v>29</v>
      </c>
      <c r="J184" s="5" t="s">
        <v>30</v>
      </c>
      <c r="K184" s="5" t="str">
        <f>CONCATENATE("")</f>
        <v/>
      </c>
      <c r="L184" s="5" t="str">
        <f>CONCATENATE("11 11.2 4b")</f>
        <v>11 11.2 4b</v>
      </c>
      <c r="M184" s="5" t="str">
        <f>CONCATENATE("GRLGLI88M42E388Q")</f>
        <v>GRLGLI88M42E388Q</v>
      </c>
      <c r="N184" s="5" t="s">
        <v>265</v>
      </c>
      <c r="O184" s="5" t="s">
        <v>207</v>
      </c>
      <c r="P184" s="6">
        <v>43987</v>
      </c>
      <c r="Q184" s="5" t="s">
        <v>31</v>
      </c>
      <c r="R184" s="5" t="s">
        <v>32</v>
      </c>
      <c r="S184" s="5" t="s">
        <v>33</v>
      </c>
      <c r="T184" s="5"/>
      <c r="U184" s="5">
        <v>300.8</v>
      </c>
      <c r="V184" s="5">
        <v>129.69999999999999</v>
      </c>
      <c r="W184" s="5">
        <v>119.78</v>
      </c>
      <c r="X184" s="5">
        <v>0</v>
      </c>
      <c r="Y184" s="5">
        <v>51.32</v>
      </c>
    </row>
    <row r="185" spans="1:25" ht="24.75" x14ac:dyDescent="0.25">
      <c r="A185" s="5" t="s">
        <v>26</v>
      </c>
      <c r="B185" s="5" t="s">
        <v>38</v>
      </c>
      <c r="C185" s="5" t="s">
        <v>49</v>
      </c>
      <c r="D185" s="5" t="s">
        <v>58</v>
      </c>
      <c r="E185" s="5" t="s">
        <v>39</v>
      </c>
      <c r="F185" s="5" t="s">
        <v>266</v>
      </c>
      <c r="G185" s="5">
        <v>2019</v>
      </c>
      <c r="H185" s="5" t="str">
        <f>CONCATENATE("94240420094")</f>
        <v>94240420094</v>
      </c>
      <c r="I185" s="5" t="s">
        <v>29</v>
      </c>
      <c r="J185" s="5" t="s">
        <v>30</v>
      </c>
      <c r="K185" s="5" t="str">
        <f>CONCATENATE("")</f>
        <v/>
      </c>
      <c r="L185" s="5" t="str">
        <f>CONCATENATE("11 11.1 4b")</f>
        <v>11 11.1 4b</v>
      </c>
      <c r="M185" s="5" t="str">
        <f>CONCATENATE("02611800414")</f>
        <v>02611800414</v>
      </c>
      <c r="N185" s="5" t="s">
        <v>267</v>
      </c>
      <c r="O185" s="5" t="s">
        <v>207</v>
      </c>
      <c r="P185" s="6">
        <v>43987</v>
      </c>
      <c r="Q185" s="5" t="s">
        <v>31</v>
      </c>
      <c r="R185" s="5" t="s">
        <v>32</v>
      </c>
      <c r="S185" s="5" t="s">
        <v>33</v>
      </c>
      <c r="T185" s="5"/>
      <c r="U185" s="7">
        <v>2067.36</v>
      </c>
      <c r="V185" s="5">
        <v>891.45</v>
      </c>
      <c r="W185" s="5">
        <v>823.22</v>
      </c>
      <c r="X185" s="5">
        <v>0</v>
      </c>
      <c r="Y185" s="5">
        <v>352.69</v>
      </c>
    </row>
    <row r="186" spans="1:25" ht="24.75" x14ac:dyDescent="0.25">
      <c r="A186" s="5" t="s">
        <v>26</v>
      </c>
      <c r="B186" s="5" t="s">
        <v>38</v>
      </c>
      <c r="C186" s="5" t="s">
        <v>49</v>
      </c>
      <c r="D186" s="5" t="s">
        <v>58</v>
      </c>
      <c r="E186" s="5" t="s">
        <v>34</v>
      </c>
      <c r="F186" s="5" t="s">
        <v>211</v>
      </c>
      <c r="G186" s="5">
        <v>2019</v>
      </c>
      <c r="H186" s="5" t="str">
        <f>CONCATENATE("94240126626")</f>
        <v>94240126626</v>
      </c>
      <c r="I186" s="5" t="s">
        <v>41</v>
      </c>
      <c r="J186" s="5" t="s">
        <v>30</v>
      </c>
      <c r="K186" s="5" t="str">
        <f>CONCATENATE("")</f>
        <v/>
      </c>
      <c r="L186" s="5" t="str">
        <f>CONCATENATE("11 11.1 4b")</f>
        <v>11 11.1 4b</v>
      </c>
      <c r="M186" s="5" t="str">
        <f>CONCATENATE("MCHNNT64P53H501N")</f>
        <v>MCHNNT64P53H501N</v>
      </c>
      <c r="N186" s="5" t="s">
        <v>268</v>
      </c>
      <c r="O186" s="5" t="s">
        <v>207</v>
      </c>
      <c r="P186" s="6">
        <v>43987</v>
      </c>
      <c r="Q186" s="5" t="s">
        <v>31</v>
      </c>
      <c r="R186" s="5" t="s">
        <v>32</v>
      </c>
      <c r="S186" s="5" t="s">
        <v>33</v>
      </c>
      <c r="T186" s="5"/>
      <c r="U186" s="5">
        <v>482.84</v>
      </c>
      <c r="V186" s="5">
        <v>208.2</v>
      </c>
      <c r="W186" s="5">
        <v>192.27</v>
      </c>
      <c r="X186" s="5">
        <v>0</v>
      </c>
      <c r="Y186" s="5">
        <v>82.37</v>
      </c>
    </row>
    <row r="187" spans="1:25" ht="24.75" x14ac:dyDescent="0.25">
      <c r="A187" s="5" t="s">
        <v>26</v>
      </c>
      <c r="B187" s="5" t="s">
        <v>38</v>
      </c>
      <c r="C187" s="5" t="s">
        <v>49</v>
      </c>
      <c r="D187" s="5" t="s">
        <v>50</v>
      </c>
      <c r="E187" s="5" t="s">
        <v>45</v>
      </c>
      <c r="F187" s="5" t="s">
        <v>62</v>
      </c>
      <c r="G187" s="5">
        <v>2019</v>
      </c>
      <c r="H187" s="5" t="str">
        <f>CONCATENATE("94240793557")</f>
        <v>94240793557</v>
      </c>
      <c r="I187" s="5" t="s">
        <v>29</v>
      </c>
      <c r="J187" s="5" t="s">
        <v>30</v>
      </c>
      <c r="K187" s="5" t="str">
        <f>CONCATENATE("")</f>
        <v/>
      </c>
      <c r="L187" s="5" t="str">
        <f>CONCATENATE("11 11.2 4b")</f>
        <v>11 11.2 4b</v>
      </c>
      <c r="M187" s="5" t="str">
        <f>CONCATENATE("02012970444")</f>
        <v>02012970444</v>
      </c>
      <c r="N187" s="5" t="s">
        <v>269</v>
      </c>
      <c r="O187" s="5" t="s">
        <v>207</v>
      </c>
      <c r="P187" s="6">
        <v>43987</v>
      </c>
      <c r="Q187" s="5" t="s">
        <v>31</v>
      </c>
      <c r="R187" s="5" t="s">
        <v>32</v>
      </c>
      <c r="S187" s="5" t="s">
        <v>33</v>
      </c>
      <c r="T187" s="5"/>
      <c r="U187" s="5">
        <v>466.39</v>
      </c>
      <c r="V187" s="5">
        <v>201.11</v>
      </c>
      <c r="W187" s="5">
        <v>185.72</v>
      </c>
      <c r="X187" s="5">
        <v>0</v>
      </c>
      <c r="Y187" s="5">
        <v>79.56</v>
      </c>
    </row>
    <row r="188" spans="1:25" x14ac:dyDescent="0.25">
      <c r="A188" s="5" t="s">
        <v>26</v>
      </c>
      <c r="B188" s="5" t="s">
        <v>38</v>
      </c>
      <c r="C188" s="5" t="s">
        <v>49</v>
      </c>
      <c r="D188" s="5" t="s">
        <v>87</v>
      </c>
      <c r="E188" s="5" t="s">
        <v>35</v>
      </c>
      <c r="F188" s="5" t="s">
        <v>270</v>
      </c>
      <c r="G188" s="5">
        <v>2019</v>
      </c>
      <c r="H188" s="5" t="str">
        <f>CONCATENATE("94241166514")</f>
        <v>94241166514</v>
      </c>
      <c r="I188" s="5" t="s">
        <v>29</v>
      </c>
      <c r="J188" s="5" t="s">
        <v>30</v>
      </c>
      <c r="K188" s="5" t="str">
        <f>CONCATENATE("")</f>
        <v/>
      </c>
      <c r="L188" s="5" t="str">
        <f>CONCATENATE("11 11.2 4b")</f>
        <v>11 11.2 4b</v>
      </c>
      <c r="M188" s="5" t="str">
        <f>CONCATENATE("01914940430")</f>
        <v>01914940430</v>
      </c>
      <c r="N188" s="5" t="s">
        <v>271</v>
      </c>
      <c r="O188" s="5" t="s">
        <v>207</v>
      </c>
      <c r="P188" s="6">
        <v>43987</v>
      </c>
      <c r="Q188" s="5" t="s">
        <v>31</v>
      </c>
      <c r="R188" s="5" t="s">
        <v>32</v>
      </c>
      <c r="S188" s="5" t="s">
        <v>33</v>
      </c>
      <c r="T188" s="5"/>
      <c r="U188" s="7">
        <v>2913.64</v>
      </c>
      <c r="V188" s="7">
        <v>1256.3599999999999</v>
      </c>
      <c r="W188" s="7">
        <v>1160.21</v>
      </c>
      <c r="X188" s="5">
        <v>0</v>
      </c>
      <c r="Y188" s="5">
        <v>497.07</v>
      </c>
    </row>
    <row r="189" spans="1:25" ht="24.75" x14ac:dyDescent="0.25">
      <c r="A189" s="5" t="s">
        <v>26</v>
      </c>
      <c r="B189" s="5" t="s">
        <v>38</v>
      </c>
      <c r="C189" s="5" t="s">
        <v>49</v>
      </c>
      <c r="D189" s="5" t="s">
        <v>54</v>
      </c>
      <c r="E189" s="5" t="s">
        <v>45</v>
      </c>
      <c r="F189" s="5" t="s">
        <v>125</v>
      </c>
      <c r="G189" s="5">
        <v>2018</v>
      </c>
      <c r="H189" s="5" t="str">
        <f>CONCATENATE("84240142491")</f>
        <v>84240142491</v>
      </c>
      <c r="I189" s="5" t="s">
        <v>29</v>
      </c>
      <c r="J189" s="5" t="s">
        <v>30</v>
      </c>
      <c r="K189" s="5" t="str">
        <f>CONCATENATE("")</f>
        <v/>
      </c>
      <c r="L189" s="5" t="str">
        <f>CONCATENATE("11 11.1 4b")</f>
        <v>11 11.1 4b</v>
      </c>
      <c r="M189" s="5" t="str">
        <f>CONCATENATE("01964550436")</f>
        <v>01964550436</v>
      </c>
      <c r="N189" s="5" t="s">
        <v>272</v>
      </c>
      <c r="O189" s="5" t="s">
        <v>207</v>
      </c>
      <c r="P189" s="6">
        <v>43987</v>
      </c>
      <c r="Q189" s="5" t="s">
        <v>31</v>
      </c>
      <c r="R189" s="5" t="s">
        <v>32</v>
      </c>
      <c r="S189" s="5" t="s">
        <v>33</v>
      </c>
      <c r="T189" s="5"/>
      <c r="U189" s="5">
        <v>197.64</v>
      </c>
      <c r="V189" s="5">
        <v>85.22</v>
      </c>
      <c r="W189" s="5">
        <v>78.7</v>
      </c>
      <c r="X189" s="5">
        <v>0</v>
      </c>
      <c r="Y189" s="5">
        <v>33.72</v>
      </c>
    </row>
    <row r="190" spans="1:25" ht="24.75" x14ac:dyDescent="0.25">
      <c r="A190" s="5" t="s">
        <v>26</v>
      </c>
      <c r="B190" s="5" t="s">
        <v>38</v>
      </c>
      <c r="C190" s="5" t="s">
        <v>49</v>
      </c>
      <c r="D190" s="5" t="s">
        <v>54</v>
      </c>
      <c r="E190" s="5" t="s">
        <v>45</v>
      </c>
      <c r="F190" s="5" t="s">
        <v>125</v>
      </c>
      <c r="G190" s="5">
        <v>2018</v>
      </c>
      <c r="H190" s="5" t="str">
        <f>CONCATENATE("84240144497")</f>
        <v>84240144497</v>
      </c>
      <c r="I190" s="5" t="s">
        <v>29</v>
      </c>
      <c r="J190" s="5" t="s">
        <v>30</v>
      </c>
      <c r="K190" s="5" t="str">
        <f>CONCATENATE("")</f>
        <v/>
      </c>
      <c r="L190" s="5" t="str">
        <f>CONCATENATE("11 11.1 4b")</f>
        <v>11 11.1 4b</v>
      </c>
      <c r="M190" s="5" t="str">
        <f>CONCATENATE("01776160432")</f>
        <v>01776160432</v>
      </c>
      <c r="N190" s="5" t="s">
        <v>273</v>
      </c>
      <c r="O190" s="5" t="s">
        <v>207</v>
      </c>
      <c r="P190" s="6">
        <v>43987</v>
      </c>
      <c r="Q190" s="5" t="s">
        <v>31</v>
      </c>
      <c r="R190" s="5" t="s">
        <v>32</v>
      </c>
      <c r="S190" s="5" t="s">
        <v>33</v>
      </c>
      <c r="T190" s="5"/>
      <c r="U190" s="7">
        <v>34852.85</v>
      </c>
      <c r="V190" s="7">
        <v>15028.55</v>
      </c>
      <c r="W190" s="7">
        <v>13878.4</v>
      </c>
      <c r="X190" s="5">
        <v>0</v>
      </c>
      <c r="Y190" s="7">
        <v>5945.9</v>
      </c>
    </row>
    <row r="191" spans="1:25" ht="24.75" x14ac:dyDescent="0.25">
      <c r="A191" s="5" t="s">
        <v>26</v>
      </c>
      <c r="B191" s="5" t="s">
        <v>38</v>
      </c>
      <c r="C191" s="5" t="s">
        <v>49</v>
      </c>
      <c r="D191" s="5" t="s">
        <v>50</v>
      </c>
      <c r="E191" s="5" t="s">
        <v>42</v>
      </c>
      <c r="F191" s="5" t="s">
        <v>191</v>
      </c>
      <c r="G191" s="5">
        <v>2019</v>
      </c>
      <c r="H191" s="5" t="str">
        <f>CONCATENATE("94240438328")</f>
        <v>94240438328</v>
      </c>
      <c r="I191" s="5" t="s">
        <v>29</v>
      </c>
      <c r="J191" s="5" t="s">
        <v>30</v>
      </c>
      <c r="K191" s="5" t="str">
        <f>CONCATENATE("")</f>
        <v/>
      </c>
      <c r="L191" s="5" t="str">
        <f>CONCATENATE("11 11.2 4b")</f>
        <v>11 11.2 4b</v>
      </c>
      <c r="M191" s="5" t="str">
        <f>CONCATENATE("CCCPRZ62L12G005D")</f>
        <v>CCCPRZ62L12G005D</v>
      </c>
      <c r="N191" s="5" t="s">
        <v>274</v>
      </c>
      <c r="O191" s="5" t="s">
        <v>207</v>
      </c>
      <c r="P191" s="6">
        <v>43987</v>
      </c>
      <c r="Q191" s="5" t="s">
        <v>31</v>
      </c>
      <c r="R191" s="5" t="s">
        <v>32</v>
      </c>
      <c r="S191" s="5" t="s">
        <v>33</v>
      </c>
      <c r="T191" s="5"/>
      <c r="U191" s="5">
        <v>522</v>
      </c>
      <c r="V191" s="5">
        <v>225.09</v>
      </c>
      <c r="W191" s="5">
        <v>207.86</v>
      </c>
      <c r="X191" s="5">
        <v>0</v>
      </c>
      <c r="Y191" s="5">
        <v>89.05</v>
      </c>
    </row>
    <row r="192" spans="1:25" ht="24.75" x14ac:dyDescent="0.25">
      <c r="A192" s="5" t="s">
        <v>26</v>
      </c>
      <c r="B192" s="5" t="s">
        <v>38</v>
      </c>
      <c r="C192" s="5" t="s">
        <v>49</v>
      </c>
      <c r="D192" s="5" t="s">
        <v>50</v>
      </c>
      <c r="E192" s="5" t="s">
        <v>44</v>
      </c>
      <c r="F192" s="5" t="s">
        <v>205</v>
      </c>
      <c r="G192" s="5">
        <v>2019</v>
      </c>
      <c r="H192" s="5" t="str">
        <f>CONCATENATE("94240465099")</f>
        <v>94240465099</v>
      </c>
      <c r="I192" s="5" t="s">
        <v>29</v>
      </c>
      <c r="J192" s="5" t="s">
        <v>30</v>
      </c>
      <c r="K192" s="5" t="str">
        <f>CONCATENATE("")</f>
        <v/>
      </c>
      <c r="L192" s="5" t="str">
        <f>CONCATENATE("11 11.2 4b")</f>
        <v>11 11.2 4b</v>
      </c>
      <c r="M192" s="5" t="str">
        <f>CONCATENATE("BRTGNI66L18H769F")</f>
        <v>BRTGNI66L18H769F</v>
      </c>
      <c r="N192" s="5" t="s">
        <v>275</v>
      </c>
      <c r="O192" s="5" t="s">
        <v>207</v>
      </c>
      <c r="P192" s="6">
        <v>43987</v>
      </c>
      <c r="Q192" s="5" t="s">
        <v>31</v>
      </c>
      <c r="R192" s="5" t="s">
        <v>32</v>
      </c>
      <c r="S192" s="5" t="s">
        <v>33</v>
      </c>
      <c r="T192" s="5"/>
      <c r="U192" s="5">
        <v>990.57</v>
      </c>
      <c r="V192" s="5">
        <v>427.13</v>
      </c>
      <c r="W192" s="5">
        <v>394.44</v>
      </c>
      <c r="X192" s="5">
        <v>0</v>
      </c>
      <c r="Y192" s="5">
        <v>169</v>
      </c>
    </row>
    <row r="193" spans="1:25" x14ac:dyDescent="0.25">
      <c r="A193" s="5" t="s">
        <v>26</v>
      </c>
      <c r="B193" s="5" t="s">
        <v>38</v>
      </c>
      <c r="C193" s="5" t="s">
        <v>49</v>
      </c>
      <c r="D193" s="5" t="s">
        <v>87</v>
      </c>
      <c r="E193" s="5" t="s">
        <v>35</v>
      </c>
      <c r="F193" s="5" t="s">
        <v>214</v>
      </c>
      <c r="G193" s="5">
        <v>2019</v>
      </c>
      <c r="H193" s="5" t="str">
        <f>CONCATENATE("94241043408")</f>
        <v>94241043408</v>
      </c>
      <c r="I193" s="5" t="s">
        <v>29</v>
      </c>
      <c r="J193" s="5" t="s">
        <v>30</v>
      </c>
      <c r="K193" s="5" t="str">
        <f>CONCATENATE("")</f>
        <v/>
      </c>
      <c r="L193" s="5" t="str">
        <f>CONCATENATE("11 11.2 4b")</f>
        <v>11 11.2 4b</v>
      </c>
      <c r="M193" s="5" t="str">
        <f>CONCATENATE("01990470435")</f>
        <v>01990470435</v>
      </c>
      <c r="N193" s="5" t="s">
        <v>276</v>
      </c>
      <c r="O193" s="5" t="s">
        <v>207</v>
      </c>
      <c r="P193" s="6">
        <v>43987</v>
      </c>
      <c r="Q193" s="5" t="s">
        <v>31</v>
      </c>
      <c r="R193" s="5" t="s">
        <v>32</v>
      </c>
      <c r="S193" s="5" t="s">
        <v>33</v>
      </c>
      <c r="T193" s="5"/>
      <c r="U193" s="5">
        <v>260.95</v>
      </c>
      <c r="V193" s="5">
        <v>112.52</v>
      </c>
      <c r="W193" s="5">
        <v>103.91</v>
      </c>
      <c r="X193" s="5">
        <v>0</v>
      </c>
      <c r="Y193" s="5">
        <v>44.52</v>
      </c>
    </row>
    <row r="194" spans="1:25" ht="24.75" x14ac:dyDescent="0.25">
      <c r="A194" s="5" t="s">
        <v>26</v>
      </c>
      <c r="B194" s="5" t="s">
        <v>38</v>
      </c>
      <c r="C194" s="5" t="s">
        <v>49</v>
      </c>
      <c r="D194" s="5" t="s">
        <v>50</v>
      </c>
      <c r="E194" s="5" t="s">
        <v>39</v>
      </c>
      <c r="F194" s="5" t="s">
        <v>182</v>
      </c>
      <c r="G194" s="5">
        <v>2019</v>
      </c>
      <c r="H194" s="5" t="str">
        <f>CONCATENATE("94240895485")</f>
        <v>94240895485</v>
      </c>
      <c r="I194" s="5" t="s">
        <v>29</v>
      </c>
      <c r="J194" s="5" t="s">
        <v>30</v>
      </c>
      <c r="K194" s="5" t="str">
        <f>CONCATENATE("")</f>
        <v/>
      </c>
      <c r="L194" s="5" t="str">
        <f>CONCATENATE("11 11.2 4b")</f>
        <v>11 11.2 4b</v>
      </c>
      <c r="M194" s="5" t="str">
        <f>CONCATENATE("LNDTZN71R09G005Q")</f>
        <v>LNDTZN71R09G005Q</v>
      </c>
      <c r="N194" s="5" t="s">
        <v>277</v>
      </c>
      <c r="O194" s="5" t="s">
        <v>207</v>
      </c>
      <c r="P194" s="6">
        <v>43987</v>
      </c>
      <c r="Q194" s="5" t="s">
        <v>31</v>
      </c>
      <c r="R194" s="5" t="s">
        <v>32</v>
      </c>
      <c r="S194" s="5" t="s">
        <v>33</v>
      </c>
      <c r="T194" s="5"/>
      <c r="U194" s="5">
        <v>820.31</v>
      </c>
      <c r="V194" s="5">
        <v>353.72</v>
      </c>
      <c r="W194" s="5">
        <v>326.64999999999998</v>
      </c>
      <c r="X194" s="5">
        <v>0</v>
      </c>
      <c r="Y194" s="5">
        <v>139.94</v>
      </c>
    </row>
    <row r="195" spans="1:25" ht="24.75" x14ac:dyDescent="0.25">
      <c r="A195" s="5" t="s">
        <v>26</v>
      </c>
      <c r="B195" s="5" t="s">
        <v>38</v>
      </c>
      <c r="C195" s="5" t="s">
        <v>49</v>
      </c>
      <c r="D195" s="5" t="s">
        <v>58</v>
      </c>
      <c r="E195" s="5" t="s">
        <v>39</v>
      </c>
      <c r="F195" s="5" t="s">
        <v>72</v>
      </c>
      <c r="G195" s="5">
        <v>2019</v>
      </c>
      <c r="H195" s="5" t="str">
        <f>CONCATENATE("94241091084")</f>
        <v>94241091084</v>
      </c>
      <c r="I195" s="5" t="s">
        <v>29</v>
      </c>
      <c r="J195" s="5" t="s">
        <v>30</v>
      </c>
      <c r="K195" s="5" t="str">
        <f>CONCATENATE("")</f>
        <v/>
      </c>
      <c r="L195" s="5" t="str">
        <f>CONCATENATE("11 11.1 4b")</f>
        <v>11 11.1 4b</v>
      </c>
      <c r="M195" s="5" t="str">
        <f>CONCATENATE("00398210419")</f>
        <v>00398210419</v>
      </c>
      <c r="N195" s="5" t="s">
        <v>278</v>
      </c>
      <c r="O195" s="5" t="s">
        <v>207</v>
      </c>
      <c r="P195" s="6">
        <v>43987</v>
      </c>
      <c r="Q195" s="5" t="s">
        <v>31</v>
      </c>
      <c r="R195" s="5" t="s">
        <v>32</v>
      </c>
      <c r="S195" s="5" t="s">
        <v>33</v>
      </c>
      <c r="T195" s="5"/>
      <c r="U195" s="5">
        <v>319.94</v>
      </c>
      <c r="V195" s="5">
        <v>137.96</v>
      </c>
      <c r="W195" s="5">
        <v>127.4</v>
      </c>
      <c r="X195" s="5">
        <v>0</v>
      </c>
      <c r="Y195" s="5">
        <v>54.58</v>
      </c>
    </row>
    <row r="196" spans="1:25" ht="24.75" x14ac:dyDescent="0.25">
      <c r="A196" s="5" t="s">
        <v>26</v>
      </c>
      <c r="B196" s="5" t="s">
        <v>38</v>
      </c>
      <c r="C196" s="5" t="s">
        <v>49</v>
      </c>
      <c r="D196" s="5" t="s">
        <v>54</v>
      </c>
      <c r="E196" s="5" t="s">
        <v>34</v>
      </c>
      <c r="F196" s="5" t="s">
        <v>203</v>
      </c>
      <c r="G196" s="5">
        <v>2019</v>
      </c>
      <c r="H196" s="5" t="str">
        <f>CONCATENATE("94240042625")</f>
        <v>94240042625</v>
      </c>
      <c r="I196" s="5" t="s">
        <v>29</v>
      </c>
      <c r="J196" s="5" t="s">
        <v>30</v>
      </c>
      <c r="K196" s="5" t="str">
        <f>CONCATENATE("")</f>
        <v/>
      </c>
      <c r="L196" s="5" t="str">
        <f>CONCATENATE("11 11.2 4b")</f>
        <v>11 11.2 4b</v>
      </c>
      <c r="M196" s="5" t="str">
        <f>CONCATENATE("BRNLSS84L07A271E")</f>
        <v>BRNLSS84L07A271E</v>
      </c>
      <c r="N196" s="5" t="s">
        <v>279</v>
      </c>
      <c r="O196" s="5" t="s">
        <v>207</v>
      </c>
      <c r="P196" s="6">
        <v>43987</v>
      </c>
      <c r="Q196" s="5" t="s">
        <v>31</v>
      </c>
      <c r="R196" s="5" t="s">
        <v>32</v>
      </c>
      <c r="S196" s="5" t="s">
        <v>33</v>
      </c>
      <c r="T196" s="5"/>
      <c r="U196" s="7">
        <v>3731.06</v>
      </c>
      <c r="V196" s="7">
        <v>1608.83</v>
      </c>
      <c r="W196" s="7">
        <v>1485.71</v>
      </c>
      <c r="X196" s="5">
        <v>0</v>
      </c>
      <c r="Y196" s="5">
        <v>636.52</v>
      </c>
    </row>
    <row r="197" spans="1:25" ht="24.75" x14ac:dyDescent="0.25">
      <c r="A197" s="5" t="s">
        <v>26</v>
      </c>
      <c r="B197" s="5" t="s">
        <v>38</v>
      </c>
      <c r="C197" s="5" t="s">
        <v>49</v>
      </c>
      <c r="D197" s="5" t="s">
        <v>50</v>
      </c>
      <c r="E197" s="5" t="s">
        <v>39</v>
      </c>
      <c r="F197" s="5" t="s">
        <v>51</v>
      </c>
      <c r="G197" s="5">
        <v>2019</v>
      </c>
      <c r="H197" s="5" t="str">
        <f>CONCATENATE("94241036105")</f>
        <v>94241036105</v>
      </c>
      <c r="I197" s="5" t="s">
        <v>29</v>
      </c>
      <c r="J197" s="5" t="s">
        <v>30</v>
      </c>
      <c r="K197" s="5" t="str">
        <f>CONCATENATE("")</f>
        <v/>
      </c>
      <c r="L197" s="5" t="str">
        <f>CONCATENATE("11 11.2 4b")</f>
        <v>11 11.2 4b</v>
      </c>
      <c r="M197" s="5" t="str">
        <f>CONCATENATE("01987820444")</f>
        <v>01987820444</v>
      </c>
      <c r="N197" s="5" t="s">
        <v>280</v>
      </c>
      <c r="O197" s="5" t="s">
        <v>207</v>
      </c>
      <c r="P197" s="6">
        <v>43987</v>
      </c>
      <c r="Q197" s="5" t="s">
        <v>31</v>
      </c>
      <c r="R197" s="5" t="s">
        <v>32</v>
      </c>
      <c r="S197" s="5" t="s">
        <v>33</v>
      </c>
      <c r="T197" s="5"/>
      <c r="U197" s="7">
        <v>5889.85</v>
      </c>
      <c r="V197" s="7">
        <v>2539.6999999999998</v>
      </c>
      <c r="W197" s="7">
        <v>2345.34</v>
      </c>
      <c r="X197" s="5">
        <v>0</v>
      </c>
      <c r="Y197" s="7">
        <v>1004.81</v>
      </c>
    </row>
    <row r="198" spans="1:25" ht="24.75" x14ac:dyDescent="0.25">
      <c r="A198" s="5" t="s">
        <v>26</v>
      </c>
      <c r="B198" s="5" t="s">
        <v>38</v>
      </c>
      <c r="C198" s="5" t="s">
        <v>49</v>
      </c>
      <c r="D198" s="5" t="s">
        <v>50</v>
      </c>
      <c r="E198" s="5" t="s">
        <v>36</v>
      </c>
      <c r="F198" s="5" t="s">
        <v>36</v>
      </c>
      <c r="G198" s="5">
        <v>2019</v>
      </c>
      <c r="H198" s="5" t="str">
        <f>CONCATENATE("94240070642")</f>
        <v>94240070642</v>
      </c>
      <c r="I198" s="5" t="s">
        <v>29</v>
      </c>
      <c r="J198" s="5" t="s">
        <v>30</v>
      </c>
      <c r="K198" s="5" t="str">
        <f>CONCATENATE("")</f>
        <v/>
      </c>
      <c r="L198" s="5" t="str">
        <f>CONCATENATE("11 11.2 4b")</f>
        <v>11 11.2 4b</v>
      </c>
      <c r="M198" s="5" t="str">
        <f>CONCATENATE("DPSFPP76C06H769V")</f>
        <v>DPSFPP76C06H769V</v>
      </c>
      <c r="N198" s="5" t="s">
        <v>281</v>
      </c>
      <c r="O198" s="5" t="s">
        <v>207</v>
      </c>
      <c r="P198" s="6">
        <v>43987</v>
      </c>
      <c r="Q198" s="5" t="s">
        <v>31</v>
      </c>
      <c r="R198" s="5" t="s">
        <v>32</v>
      </c>
      <c r="S198" s="5" t="s">
        <v>33</v>
      </c>
      <c r="T198" s="5"/>
      <c r="U198" s="7">
        <v>9853.5</v>
      </c>
      <c r="V198" s="7">
        <v>4248.83</v>
      </c>
      <c r="W198" s="7">
        <v>3923.66</v>
      </c>
      <c r="X198" s="5">
        <v>0</v>
      </c>
      <c r="Y198" s="7">
        <v>1681.01</v>
      </c>
    </row>
    <row r="199" spans="1:25" ht="24.75" x14ac:dyDescent="0.25">
      <c r="A199" s="5" t="s">
        <v>26</v>
      </c>
      <c r="B199" s="5" t="s">
        <v>38</v>
      </c>
      <c r="C199" s="5" t="s">
        <v>49</v>
      </c>
      <c r="D199" s="5" t="s">
        <v>50</v>
      </c>
      <c r="E199" s="5" t="s">
        <v>36</v>
      </c>
      <c r="F199" s="5" t="s">
        <v>36</v>
      </c>
      <c r="G199" s="5">
        <v>2019</v>
      </c>
      <c r="H199" s="5" t="str">
        <f>CONCATENATE("94240734486")</f>
        <v>94240734486</v>
      </c>
      <c r="I199" s="5" t="s">
        <v>41</v>
      </c>
      <c r="J199" s="5" t="s">
        <v>30</v>
      </c>
      <c r="K199" s="5" t="str">
        <f>CONCATENATE("")</f>
        <v/>
      </c>
      <c r="L199" s="5" t="str">
        <f>CONCATENATE("11 11.2 4b")</f>
        <v>11 11.2 4b</v>
      </c>
      <c r="M199" s="5" t="str">
        <f>CONCATENATE("MRODTT97D43H769X")</f>
        <v>MRODTT97D43H769X</v>
      </c>
      <c r="N199" s="5" t="s">
        <v>282</v>
      </c>
      <c r="O199" s="5" t="s">
        <v>207</v>
      </c>
      <c r="P199" s="6">
        <v>43987</v>
      </c>
      <c r="Q199" s="5" t="s">
        <v>31</v>
      </c>
      <c r="R199" s="5" t="s">
        <v>32</v>
      </c>
      <c r="S199" s="5" t="s">
        <v>33</v>
      </c>
      <c r="T199" s="5"/>
      <c r="U199" s="5">
        <v>331.61</v>
      </c>
      <c r="V199" s="5">
        <v>142.99</v>
      </c>
      <c r="W199" s="5">
        <v>132.05000000000001</v>
      </c>
      <c r="X199" s="5">
        <v>0</v>
      </c>
      <c r="Y199" s="5">
        <v>56.57</v>
      </c>
    </row>
    <row r="200" spans="1:25" ht="24.75" x14ac:dyDescent="0.25">
      <c r="A200" s="5" t="s">
        <v>26</v>
      </c>
      <c r="B200" s="5" t="s">
        <v>38</v>
      </c>
      <c r="C200" s="5" t="s">
        <v>49</v>
      </c>
      <c r="D200" s="5" t="s">
        <v>50</v>
      </c>
      <c r="E200" s="5" t="s">
        <v>39</v>
      </c>
      <c r="F200" s="5" t="s">
        <v>283</v>
      </c>
      <c r="G200" s="5">
        <v>2019</v>
      </c>
      <c r="H200" s="5" t="str">
        <f>CONCATENATE("94240801434")</f>
        <v>94240801434</v>
      </c>
      <c r="I200" s="5" t="s">
        <v>29</v>
      </c>
      <c r="J200" s="5" t="s">
        <v>30</v>
      </c>
      <c r="K200" s="5" t="str">
        <f>CONCATENATE("")</f>
        <v/>
      </c>
      <c r="L200" s="5" t="str">
        <f>CONCATENATE("11 11.2 4b")</f>
        <v>11 11.2 4b</v>
      </c>
      <c r="M200" s="5" t="str">
        <f>CONCATENATE("CCCPLA57C55G920A")</f>
        <v>CCCPLA57C55G920A</v>
      </c>
      <c r="N200" s="5" t="s">
        <v>284</v>
      </c>
      <c r="O200" s="5" t="s">
        <v>207</v>
      </c>
      <c r="P200" s="6">
        <v>43987</v>
      </c>
      <c r="Q200" s="5" t="s">
        <v>31</v>
      </c>
      <c r="R200" s="5" t="s">
        <v>32</v>
      </c>
      <c r="S200" s="5" t="s">
        <v>33</v>
      </c>
      <c r="T200" s="5"/>
      <c r="U200" s="5">
        <v>392.7</v>
      </c>
      <c r="V200" s="5">
        <v>169.33</v>
      </c>
      <c r="W200" s="5">
        <v>156.37</v>
      </c>
      <c r="X200" s="5">
        <v>0</v>
      </c>
      <c r="Y200" s="5">
        <v>67</v>
      </c>
    </row>
    <row r="201" spans="1:25" x14ac:dyDescent="0.25">
      <c r="A201" s="5" t="s">
        <v>26</v>
      </c>
      <c r="B201" s="5" t="s">
        <v>38</v>
      </c>
      <c r="C201" s="5" t="s">
        <v>49</v>
      </c>
      <c r="D201" s="5" t="s">
        <v>87</v>
      </c>
      <c r="E201" s="5" t="s">
        <v>39</v>
      </c>
      <c r="F201" s="5" t="s">
        <v>48</v>
      </c>
      <c r="G201" s="5">
        <v>2019</v>
      </c>
      <c r="H201" s="5" t="str">
        <f>CONCATENATE("94240689474")</f>
        <v>94240689474</v>
      </c>
      <c r="I201" s="5" t="s">
        <v>29</v>
      </c>
      <c r="J201" s="5" t="s">
        <v>30</v>
      </c>
      <c r="K201" s="5" t="str">
        <f>CONCATENATE("")</f>
        <v/>
      </c>
      <c r="L201" s="5" t="str">
        <f>CONCATENATE("11 11.1 4b")</f>
        <v>11 11.1 4b</v>
      </c>
      <c r="M201" s="5" t="str">
        <f>CONCATENATE("SCLRND93L22D024E")</f>
        <v>SCLRND93L22D024E</v>
      </c>
      <c r="N201" s="5" t="s">
        <v>285</v>
      </c>
      <c r="O201" s="5" t="s">
        <v>207</v>
      </c>
      <c r="P201" s="6">
        <v>43987</v>
      </c>
      <c r="Q201" s="5" t="s">
        <v>31</v>
      </c>
      <c r="R201" s="5" t="s">
        <v>32</v>
      </c>
      <c r="S201" s="5" t="s">
        <v>33</v>
      </c>
      <c r="T201" s="5"/>
      <c r="U201" s="7">
        <v>4194.6099999999997</v>
      </c>
      <c r="V201" s="7">
        <v>1808.72</v>
      </c>
      <c r="W201" s="7">
        <v>1670.29</v>
      </c>
      <c r="X201" s="5">
        <v>0</v>
      </c>
      <c r="Y201" s="5">
        <v>715.6</v>
      </c>
    </row>
    <row r="202" spans="1:25" x14ac:dyDescent="0.25">
      <c r="A202" s="5" t="s">
        <v>26</v>
      </c>
      <c r="B202" s="5" t="s">
        <v>38</v>
      </c>
      <c r="C202" s="5" t="s">
        <v>49</v>
      </c>
      <c r="D202" s="5" t="s">
        <v>87</v>
      </c>
      <c r="E202" s="5" t="s">
        <v>39</v>
      </c>
      <c r="F202" s="5" t="s">
        <v>154</v>
      </c>
      <c r="G202" s="5">
        <v>2018</v>
      </c>
      <c r="H202" s="5" t="str">
        <f>CONCATENATE("84240514566")</f>
        <v>84240514566</v>
      </c>
      <c r="I202" s="5" t="s">
        <v>29</v>
      </c>
      <c r="J202" s="5" t="s">
        <v>30</v>
      </c>
      <c r="K202" s="5" t="str">
        <f>CONCATENATE("")</f>
        <v/>
      </c>
      <c r="L202" s="5" t="str">
        <f>CONCATENATE("11 11.2 4b")</f>
        <v>11 11.2 4b</v>
      </c>
      <c r="M202" s="5" t="str">
        <f>CONCATENATE("SBSJNN77S06E783Y")</f>
        <v>SBSJNN77S06E783Y</v>
      </c>
      <c r="N202" s="5" t="s">
        <v>286</v>
      </c>
      <c r="O202" s="5" t="s">
        <v>207</v>
      </c>
      <c r="P202" s="6">
        <v>43987</v>
      </c>
      <c r="Q202" s="5" t="s">
        <v>31</v>
      </c>
      <c r="R202" s="5" t="s">
        <v>32</v>
      </c>
      <c r="S202" s="5" t="s">
        <v>33</v>
      </c>
      <c r="T202" s="5"/>
      <c r="U202" s="7">
        <v>3566.09</v>
      </c>
      <c r="V202" s="7">
        <v>1537.7</v>
      </c>
      <c r="W202" s="7">
        <v>1420.02</v>
      </c>
      <c r="X202" s="5">
        <v>0</v>
      </c>
      <c r="Y202" s="5">
        <v>608.37</v>
      </c>
    </row>
    <row r="203" spans="1:25" ht="24.75" x14ac:dyDescent="0.25">
      <c r="A203" s="5" t="s">
        <v>26</v>
      </c>
      <c r="B203" s="5" t="s">
        <v>38</v>
      </c>
      <c r="C203" s="5" t="s">
        <v>49</v>
      </c>
      <c r="D203" s="5" t="s">
        <v>50</v>
      </c>
      <c r="E203" s="5" t="s">
        <v>36</v>
      </c>
      <c r="F203" s="5" t="s">
        <v>36</v>
      </c>
      <c r="G203" s="5">
        <v>2019</v>
      </c>
      <c r="H203" s="5" t="str">
        <f>CONCATENATE("94240249857")</f>
        <v>94240249857</v>
      </c>
      <c r="I203" s="5" t="s">
        <v>41</v>
      </c>
      <c r="J203" s="5" t="s">
        <v>30</v>
      </c>
      <c r="K203" s="5" t="str">
        <f>CONCATENATE("")</f>
        <v/>
      </c>
      <c r="L203" s="5" t="str">
        <f>CONCATENATE("11 11.2 4b")</f>
        <v>11 11.2 4b</v>
      </c>
      <c r="M203" s="5" t="str">
        <f>CONCATENATE("RCCMNO76B45G516G")</f>
        <v>RCCMNO76B45G516G</v>
      </c>
      <c r="N203" s="5" t="s">
        <v>287</v>
      </c>
      <c r="O203" s="5" t="s">
        <v>207</v>
      </c>
      <c r="P203" s="6">
        <v>43987</v>
      </c>
      <c r="Q203" s="5" t="s">
        <v>31</v>
      </c>
      <c r="R203" s="5" t="s">
        <v>32</v>
      </c>
      <c r="S203" s="5" t="s">
        <v>33</v>
      </c>
      <c r="T203" s="5"/>
      <c r="U203" s="5">
        <v>158.66</v>
      </c>
      <c r="V203" s="5">
        <v>68.41</v>
      </c>
      <c r="W203" s="5">
        <v>63.18</v>
      </c>
      <c r="X203" s="5">
        <v>0</v>
      </c>
      <c r="Y203" s="5">
        <v>27.07</v>
      </c>
    </row>
    <row r="204" spans="1:25" ht="24.75" x14ac:dyDescent="0.25">
      <c r="A204" s="5" t="s">
        <v>26</v>
      </c>
      <c r="B204" s="5" t="s">
        <v>38</v>
      </c>
      <c r="C204" s="5" t="s">
        <v>49</v>
      </c>
      <c r="D204" s="5" t="s">
        <v>50</v>
      </c>
      <c r="E204" s="5" t="s">
        <v>36</v>
      </c>
      <c r="F204" s="5" t="s">
        <v>36</v>
      </c>
      <c r="G204" s="5">
        <v>2019</v>
      </c>
      <c r="H204" s="5" t="str">
        <f>CONCATENATE("94240249899")</f>
        <v>94240249899</v>
      </c>
      <c r="I204" s="5" t="s">
        <v>41</v>
      </c>
      <c r="J204" s="5" t="s">
        <v>30</v>
      </c>
      <c r="K204" s="5" t="str">
        <f>CONCATENATE("")</f>
        <v/>
      </c>
      <c r="L204" s="5" t="str">
        <f>CONCATENATE("11 11.2 4b")</f>
        <v>11 11.2 4b</v>
      </c>
      <c r="M204" s="5" t="str">
        <f>CONCATENATE("01330740448")</f>
        <v>01330740448</v>
      </c>
      <c r="N204" s="5" t="s">
        <v>288</v>
      </c>
      <c r="O204" s="5" t="s">
        <v>207</v>
      </c>
      <c r="P204" s="6">
        <v>43987</v>
      </c>
      <c r="Q204" s="5" t="s">
        <v>31</v>
      </c>
      <c r="R204" s="5" t="s">
        <v>32</v>
      </c>
      <c r="S204" s="5" t="s">
        <v>33</v>
      </c>
      <c r="T204" s="5"/>
      <c r="U204" s="5">
        <v>573.59</v>
      </c>
      <c r="V204" s="5">
        <v>247.33</v>
      </c>
      <c r="W204" s="5">
        <v>228.4</v>
      </c>
      <c r="X204" s="5">
        <v>0</v>
      </c>
      <c r="Y204" s="5">
        <v>97.86</v>
      </c>
    </row>
    <row r="205" spans="1:25" ht="24.75" x14ac:dyDescent="0.25">
      <c r="A205" s="5" t="s">
        <v>26</v>
      </c>
      <c r="B205" s="5" t="s">
        <v>38</v>
      </c>
      <c r="C205" s="5" t="s">
        <v>49</v>
      </c>
      <c r="D205" s="5" t="s">
        <v>54</v>
      </c>
      <c r="E205" s="5" t="s">
        <v>39</v>
      </c>
      <c r="F205" s="5" t="s">
        <v>200</v>
      </c>
      <c r="G205" s="5">
        <v>2017</v>
      </c>
      <c r="H205" s="5" t="str">
        <f>CONCATENATE("74240823836")</f>
        <v>74240823836</v>
      </c>
      <c r="I205" s="5" t="s">
        <v>29</v>
      </c>
      <c r="J205" s="5" t="s">
        <v>30</v>
      </c>
      <c r="K205" s="5" t="str">
        <f>CONCATENATE("")</f>
        <v/>
      </c>
      <c r="L205" s="5" t="str">
        <f>CONCATENATE("11 11.2 4b")</f>
        <v>11 11.2 4b</v>
      </c>
      <c r="M205" s="5" t="str">
        <f>CONCATENATE("VLNLCN65M17I643E")</f>
        <v>VLNLCN65M17I643E</v>
      </c>
      <c r="N205" s="5" t="s">
        <v>289</v>
      </c>
      <c r="O205" s="5" t="s">
        <v>207</v>
      </c>
      <c r="P205" s="6">
        <v>43987</v>
      </c>
      <c r="Q205" s="5" t="s">
        <v>31</v>
      </c>
      <c r="R205" s="5" t="s">
        <v>32</v>
      </c>
      <c r="S205" s="5" t="s">
        <v>33</v>
      </c>
      <c r="T205" s="5"/>
      <c r="U205" s="7">
        <v>9634.58</v>
      </c>
      <c r="V205" s="7">
        <v>4154.43</v>
      </c>
      <c r="W205" s="7">
        <v>3836.49</v>
      </c>
      <c r="X205" s="5">
        <v>0</v>
      </c>
      <c r="Y205" s="7">
        <v>1643.66</v>
      </c>
    </row>
    <row r="206" spans="1:25" ht="24.75" x14ac:dyDescent="0.25">
      <c r="A206" s="5" t="s">
        <v>26</v>
      </c>
      <c r="B206" s="5" t="s">
        <v>38</v>
      </c>
      <c r="C206" s="5" t="s">
        <v>49</v>
      </c>
      <c r="D206" s="5" t="s">
        <v>54</v>
      </c>
      <c r="E206" s="5" t="s">
        <v>39</v>
      </c>
      <c r="F206" s="5" t="s">
        <v>200</v>
      </c>
      <c r="G206" s="5">
        <v>2018</v>
      </c>
      <c r="H206" s="5" t="str">
        <f>CONCATENATE("84240613723")</f>
        <v>84240613723</v>
      </c>
      <c r="I206" s="5" t="s">
        <v>29</v>
      </c>
      <c r="J206" s="5" t="s">
        <v>30</v>
      </c>
      <c r="K206" s="5" t="str">
        <f>CONCATENATE("")</f>
        <v/>
      </c>
      <c r="L206" s="5" t="str">
        <f>CONCATENATE("11 11.2 4b")</f>
        <v>11 11.2 4b</v>
      </c>
      <c r="M206" s="5" t="str">
        <f>CONCATENATE("VLNLCN65M17I643E")</f>
        <v>VLNLCN65M17I643E</v>
      </c>
      <c r="N206" s="5" t="s">
        <v>289</v>
      </c>
      <c r="O206" s="5" t="s">
        <v>207</v>
      </c>
      <c r="P206" s="6">
        <v>43987</v>
      </c>
      <c r="Q206" s="5" t="s">
        <v>31</v>
      </c>
      <c r="R206" s="5" t="s">
        <v>32</v>
      </c>
      <c r="S206" s="5" t="s">
        <v>33</v>
      </c>
      <c r="T206" s="5"/>
      <c r="U206" s="7">
        <v>12481.24</v>
      </c>
      <c r="V206" s="7">
        <v>5381.91</v>
      </c>
      <c r="W206" s="7">
        <v>4970.03</v>
      </c>
      <c r="X206" s="5">
        <v>0</v>
      </c>
      <c r="Y206" s="7">
        <v>2129.3000000000002</v>
      </c>
    </row>
    <row r="207" spans="1:25" ht="24.75" x14ac:dyDescent="0.25">
      <c r="A207" s="5" t="s">
        <v>26</v>
      </c>
      <c r="B207" s="5" t="s">
        <v>38</v>
      </c>
      <c r="C207" s="5" t="s">
        <v>49</v>
      </c>
      <c r="D207" s="5" t="s">
        <v>54</v>
      </c>
      <c r="E207" s="5" t="s">
        <v>39</v>
      </c>
      <c r="F207" s="5" t="s">
        <v>200</v>
      </c>
      <c r="G207" s="5">
        <v>2019</v>
      </c>
      <c r="H207" s="5" t="str">
        <f>CONCATENATE("94240632177")</f>
        <v>94240632177</v>
      </c>
      <c r="I207" s="5" t="s">
        <v>29</v>
      </c>
      <c r="J207" s="5" t="s">
        <v>30</v>
      </c>
      <c r="K207" s="5" t="str">
        <f>CONCATENATE("")</f>
        <v/>
      </c>
      <c r="L207" s="5" t="str">
        <f>CONCATENATE("11 11.2 4b")</f>
        <v>11 11.2 4b</v>
      </c>
      <c r="M207" s="5" t="str">
        <f>CONCATENATE("VLNLCN65M17I643E")</f>
        <v>VLNLCN65M17I643E</v>
      </c>
      <c r="N207" s="5" t="s">
        <v>289</v>
      </c>
      <c r="O207" s="5" t="s">
        <v>207</v>
      </c>
      <c r="P207" s="6">
        <v>43987</v>
      </c>
      <c r="Q207" s="5" t="s">
        <v>31</v>
      </c>
      <c r="R207" s="5" t="s">
        <v>32</v>
      </c>
      <c r="S207" s="5" t="s">
        <v>33</v>
      </c>
      <c r="T207" s="5"/>
      <c r="U207" s="7">
        <v>11324.41</v>
      </c>
      <c r="V207" s="7">
        <v>4883.09</v>
      </c>
      <c r="W207" s="7">
        <v>4509.38</v>
      </c>
      <c r="X207" s="5">
        <v>0</v>
      </c>
      <c r="Y207" s="7">
        <v>1931.94</v>
      </c>
    </row>
    <row r="208" spans="1:25" ht="24.75" x14ac:dyDescent="0.25">
      <c r="A208" s="5" t="s">
        <v>26</v>
      </c>
      <c r="B208" s="5" t="s">
        <v>38</v>
      </c>
      <c r="C208" s="5" t="s">
        <v>49</v>
      </c>
      <c r="D208" s="5" t="s">
        <v>50</v>
      </c>
      <c r="E208" s="5" t="s">
        <v>42</v>
      </c>
      <c r="F208" s="5" t="s">
        <v>191</v>
      </c>
      <c r="G208" s="5">
        <v>2019</v>
      </c>
      <c r="H208" s="5" t="str">
        <f>CONCATENATE("94240072101")</f>
        <v>94240072101</v>
      </c>
      <c r="I208" s="5" t="s">
        <v>29</v>
      </c>
      <c r="J208" s="5" t="s">
        <v>30</v>
      </c>
      <c r="K208" s="5" t="str">
        <f>CONCATENATE("")</f>
        <v/>
      </c>
      <c r="L208" s="5" t="str">
        <f>CONCATENATE("11 11.2 4b")</f>
        <v>11 11.2 4b</v>
      </c>
      <c r="M208" s="5" t="str">
        <f>CONCATENATE("DSLNTN61D16F415G")</f>
        <v>DSLNTN61D16F415G</v>
      </c>
      <c r="N208" s="5" t="s">
        <v>290</v>
      </c>
      <c r="O208" s="5" t="s">
        <v>207</v>
      </c>
      <c r="P208" s="6">
        <v>43987</v>
      </c>
      <c r="Q208" s="5" t="s">
        <v>31</v>
      </c>
      <c r="R208" s="5" t="s">
        <v>32</v>
      </c>
      <c r="S208" s="5" t="s">
        <v>33</v>
      </c>
      <c r="T208" s="5"/>
      <c r="U208" s="5">
        <v>162.94999999999999</v>
      </c>
      <c r="V208" s="5">
        <v>70.260000000000005</v>
      </c>
      <c r="W208" s="5">
        <v>64.89</v>
      </c>
      <c r="X208" s="5">
        <v>0</v>
      </c>
      <c r="Y208" s="5">
        <v>27.8</v>
      </c>
    </row>
    <row r="209" spans="1:25" ht="24.75" x14ac:dyDescent="0.25">
      <c r="A209" s="5" t="s">
        <v>26</v>
      </c>
      <c r="B209" s="5" t="s">
        <v>38</v>
      </c>
      <c r="C209" s="5" t="s">
        <v>49</v>
      </c>
      <c r="D209" s="5" t="s">
        <v>58</v>
      </c>
      <c r="E209" s="5" t="s">
        <v>39</v>
      </c>
      <c r="F209" s="5" t="s">
        <v>59</v>
      </c>
      <c r="G209" s="5">
        <v>2019</v>
      </c>
      <c r="H209" s="5" t="str">
        <f>CONCATENATE("94240499791")</f>
        <v>94240499791</v>
      </c>
      <c r="I209" s="5" t="s">
        <v>29</v>
      </c>
      <c r="J209" s="5" t="s">
        <v>30</v>
      </c>
      <c r="K209" s="5" t="str">
        <f>CONCATENATE("")</f>
        <v/>
      </c>
      <c r="L209" s="5" t="str">
        <f>CONCATENATE("11 11.1 4b")</f>
        <v>11 11.1 4b</v>
      </c>
      <c r="M209" s="5" t="str">
        <f>CONCATENATE("MSCPQL51C10B026J")</f>
        <v>MSCPQL51C10B026J</v>
      </c>
      <c r="N209" s="5" t="s">
        <v>291</v>
      </c>
      <c r="O209" s="5" t="s">
        <v>207</v>
      </c>
      <c r="P209" s="6">
        <v>43987</v>
      </c>
      <c r="Q209" s="5" t="s">
        <v>31</v>
      </c>
      <c r="R209" s="5" t="s">
        <v>32</v>
      </c>
      <c r="S209" s="5" t="s">
        <v>33</v>
      </c>
      <c r="T209" s="5"/>
      <c r="U209" s="7">
        <v>8845.84</v>
      </c>
      <c r="V209" s="7">
        <v>3814.33</v>
      </c>
      <c r="W209" s="7">
        <v>3522.41</v>
      </c>
      <c r="X209" s="5">
        <v>0</v>
      </c>
      <c r="Y209" s="7">
        <v>1509.1</v>
      </c>
    </row>
    <row r="210" spans="1:25" x14ac:dyDescent="0.25">
      <c r="A210" s="5" t="s">
        <v>26</v>
      </c>
      <c r="B210" s="5" t="s">
        <v>38</v>
      </c>
      <c r="C210" s="5" t="s">
        <v>49</v>
      </c>
      <c r="D210" s="5" t="s">
        <v>87</v>
      </c>
      <c r="E210" s="5" t="s">
        <v>35</v>
      </c>
      <c r="F210" s="5" t="s">
        <v>128</v>
      </c>
      <c r="G210" s="5">
        <v>2018</v>
      </c>
      <c r="H210" s="5" t="str">
        <f>CONCATENATE("84240536676")</f>
        <v>84240536676</v>
      </c>
      <c r="I210" s="5" t="s">
        <v>29</v>
      </c>
      <c r="J210" s="5" t="s">
        <v>30</v>
      </c>
      <c r="K210" s="5" t="str">
        <f>CONCATENATE("")</f>
        <v/>
      </c>
      <c r="L210" s="5" t="str">
        <f>CONCATENATE("11 11.2 4b")</f>
        <v>11 11.2 4b</v>
      </c>
      <c r="M210" s="5" t="str">
        <f>CONCATENATE("01969580438")</f>
        <v>01969580438</v>
      </c>
      <c r="N210" s="5" t="s">
        <v>292</v>
      </c>
      <c r="O210" s="5" t="s">
        <v>207</v>
      </c>
      <c r="P210" s="6">
        <v>43987</v>
      </c>
      <c r="Q210" s="5" t="s">
        <v>31</v>
      </c>
      <c r="R210" s="5" t="s">
        <v>32</v>
      </c>
      <c r="S210" s="5" t="s">
        <v>33</v>
      </c>
      <c r="T210" s="5"/>
      <c r="U210" s="5">
        <v>717.87</v>
      </c>
      <c r="V210" s="5">
        <v>309.55</v>
      </c>
      <c r="W210" s="5">
        <v>285.86</v>
      </c>
      <c r="X210" s="5">
        <v>0</v>
      </c>
      <c r="Y210" s="5">
        <v>122.46</v>
      </c>
    </row>
    <row r="211" spans="1:25" ht="24.75" x14ac:dyDescent="0.25">
      <c r="A211" s="5" t="s">
        <v>26</v>
      </c>
      <c r="B211" s="5" t="s">
        <v>38</v>
      </c>
      <c r="C211" s="5" t="s">
        <v>49</v>
      </c>
      <c r="D211" s="5" t="s">
        <v>50</v>
      </c>
      <c r="E211" s="5" t="s">
        <v>34</v>
      </c>
      <c r="F211" s="5" t="s">
        <v>245</v>
      </c>
      <c r="G211" s="5">
        <v>2019</v>
      </c>
      <c r="H211" s="5" t="str">
        <f>CONCATENATE("94240254949")</f>
        <v>94240254949</v>
      </c>
      <c r="I211" s="5" t="s">
        <v>41</v>
      </c>
      <c r="J211" s="5" t="s">
        <v>30</v>
      </c>
      <c r="K211" s="5" t="str">
        <f>CONCATENATE("")</f>
        <v/>
      </c>
      <c r="L211" s="5" t="str">
        <f>CONCATENATE("11 11.1 4b")</f>
        <v>11 11.1 4b</v>
      </c>
      <c r="M211" s="5" t="str">
        <f>CONCATENATE("GGLGNN67S23A462X")</f>
        <v>GGLGNN67S23A462X</v>
      </c>
      <c r="N211" s="5" t="s">
        <v>293</v>
      </c>
      <c r="O211" s="5" t="s">
        <v>207</v>
      </c>
      <c r="P211" s="6">
        <v>43987</v>
      </c>
      <c r="Q211" s="5" t="s">
        <v>31</v>
      </c>
      <c r="R211" s="5" t="s">
        <v>32</v>
      </c>
      <c r="S211" s="5" t="s">
        <v>33</v>
      </c>
      <c r="T211" s="5"/>
      <c r="U211" s="5">
        <v>70.42</v>
      </c>
      <c r="V211" s="5">
        <v>30.37</v>
      </c>
      <c r="W211" s="5">
        <v>28.04</v>
      </c>
      <c r="X211" s="5">
        <v>0</v>
      </c>
      <c r="Y211" s="5">
        <v>12.01</v>
      </c>
    </row>
    <row r="212" spans="1:25" ht="24.75" x14ac:dyDescent="0.25">
      <c r="A212" s="5" t="s">
        <v>26</v>
      </c>
      <c r="B212" s="5" t="s">
        <v>38</v>
      </c>
      <c r="C212" s="5" t="s">
        <v>49</v>
      </c>
      <c r="D212" s="5" t="s">
        <v>58</v>
      </c>
      <c r="E212" s="5" t="s">
        <v>39</v>
      </c>
      <c r="F212" s="5" t="s">
        <v>69</v>
      </c>
      <c r="G212" s="5">
        <v>2019</v>
      </c>
      <c r="H212" s="5" t="str">
        <f>CONCATENATE("94240449184")</f>
        <v>94240449184</v>
      </c>
      <c r="I212" s="5" t="s">
        <v>29</v>
      </c>
      <c r="J212" s="5" t="s">
        <v>30</v>
      </c>
      <c r="K212" s="5" t="str">
        <f>CONCATENATE("")</f>
        <v/>
      </c>
      <c r="L212" s="5" t="str">
        <f>CONCATENATE("11 11.1 4b")</f>
        <v>11 11.1 4b</v>
      </c>
      <c r="M212" s="5" t="str">
        <f>CONCATENATE("CCHSFN63R25D488S")</f>
        <v>CCHSFN63R25D488S</v>
      </c>
      <c r="N212" s="5" t="s">
        <v>294</v>
      </c>
      <c r="O212" s="5" t="s">
        <v>207</v>
      </c>
      <c r="P212" s="6">
        <v>43987</v>
      </c>
      <c r="Q212" s="5" t="s">
        <v>31</v>
      </c>
      <c r="R212" s="5" t="s">
        <v>32</v>
      </c>
      <c r="S212" s="5" t="s">
        <v>33</v>
      </c>
      <c r="T212" s="5"/>
      <c r="U212" s="5">
        <v>474.67</v>
      </c>
      <c r="V212" s="5">
        <v>204.68</v>
      </c>
      <c r="W212" s="5">
        <v>189.01</v>
      </c>
      <c r="X212" s="5">
        <v>0</v>
      </c>
      <c r="Y212" s="5">
        <v>80.98</v>
      </c>
    </row>
    <row r="213" spans="1:25" ht="24.75" x14ac:dyDescent="0.25">
      <c r="A213" s="5" t="s">
        <v>26</v>
      </c>
      <c r="B213" s="5" t="s">
        <v>38</v>
      </c>
      <c r="C213" s="5" t="s">
        <v>49</v>
      </c>
      <c r="D213" s="5" t="s">
        <v>87</v>
      </c>
      <c r="E213" s="5" t="s">
        <v>35</v>
      </c>
      <c r="F213" s="5" t="s">
        <v>128</v>
      </c>
      <c r="G213" s="5">
        <v>2019</v>
      </c>
      <c r="H213" s="5" t="str">
        <f>CONCATENATE("94241701047")</f>
        <v>94241701047</v>
      </c>
      <c r="I213" s="5" t="s">
        <v>29</v>
      </c>
      <c r="J213" s="5" t="s">
        <v>30</v>
      </c>
      <c r="K213" s="5" t="str">
        <f>CONCATENATE("")</f>
        <v/>
      </c>
      <c r="L213" s="5" t="str">
        <f>CONCATENATE("11 11.2 4b")</f>
        <v>11 11.2 4b</v>
      </c>
      <c r="M213" s="5" t="str">
        <f>CONCATENATE("01955930431")</f>
        <v>01955930431</v>
      </c>
      <c r="N213" s="5" t="s">
        <v>295</v>
      </c>
      <c r="O213" s="5" t="s">
        <v>207</v>
      </c>
      <c r="P213" s="6">
        <v>43987</v>
      </c>
      <c r="Q213" s="5" t="s">
        <v>31</v>
      </c>
      <c r="R213" s="5" t="s">
        <v>32</v>
      </c>
      <c r="S213" s="5" t="s">
        <v>33</v>
      </c>
      <c r="T213" s="5"/>
      <c r="U213" s="7">
        <v>4025.22</v>
      </c>
      <c r="V213" s="7">
        <v>1735.67</v>
      </c>
      <c r="W213" s="7">
        <v>1602.84</v>
      </c>
      <c r="X213" s="5">
        <v>0</v>
      </c>
      <c r="Y213" s="5">
        <v>686.71</v>
      </c>
    </row>
    <row r="214" spans="1:25" ht="24.75" x14ac:dyDescent="0.25">
      <c r="A214" s="5" t="s">
        <v>26</v>
      </c>
      <c r="B214" s="5" t="s">
        <v>38</v>
      </c>
      <c r="C214" s="5" t="s">
        <v>49</v>
      </c>
      <c r="D214" s="5" t="s">
        <v>50</v>
      </c>
      <c r="E214" s="5" t="s">
        <v>42</v>
      </c>
      <c r="F214" s="5" t="s">
        <v>191</v>
      </c>
      <c r="G214" s="5">
        <v>2019</v>
      </c>
      <c r="H214" s="5" t="str">
        <f>CONCATENATE("94240025083")</f>
        <v>94240025083</v>
      </c>
      <c r="I214" s="5" t="s">
        <v>29</v>
      </c>
      <c r="J214" s="5" t="s">
        <v>30</v>
      </c>
      <c r="K214" s="5" t="str">
        <f>CONCATENATE("")</f>
        <v/>
      </c>
      <c r="L214" s="5" t="str">
        <f>CONCATENATE("11 11.1 4b")</f>
        <v>11 11.1 4b</v>
      </c>
      <c r="M214" s="5" t="str">
        <f>CONCATENATE("FNSSDR62H20A462H")</f>
        <v>FNSSDR62H20A462H</v>
      </c>
      <c r="N214" s="5" t="s">
        <v>296</v>
      </c>
      <c r="O214" s="5" t="s">
        <v>207</v>
      </c>
      <c r="P214" s="6">
        <v>43987</v>
      </c>
      <c r="Q214" s="5" t="s">
        <v>31</v>
      </c>
      <c r="R214" s="5" t="s">
        <v>32</v>
      </c>
      <c r="S214" s="5" t="s">
        <v>33</v>
      </c>
      <c r="T214" s="5"/>
      <c r="U214" s="5">
        <v>80.8</v>
      </c>
      <c r="V214" s="5">
        <v>34.840000000000003</v>
      </c>
      <c r="W214" s="5">
        <v>32.17</v>
      </c>
      <c r="X214" s="5">
        <v>0</v>
      </c>
      <c r="Y214" s="5">
        <v>13.79</v>
      </c>
    </row>
    <row r="215" spans="1:25" ht="24.75" x14ac:dyDescent="0.25">
      <c r="A215" s="5" t="s">
        <v>26</v>
      </c>
      <c r="B215" s="5" t="s">
        <v>38</v>
      </c>
      <c r="C215" s="5" t="s">
        <v>49</v>
      </c>
      <c r="D215" s="5" t="s">
        <v>50</v>
      </c>
      <c r="E215" s="5" t="s">
        <v>39</v>
      </c>
      <c r="F215" s="5" t="s">
        <v>182</v>
      </c>
      <c r="G215" s="5">
        <v>2019</v>
      </c>
      <c r="H215" s="5" t="str">
        <f>CONCATENATE("94240294200")</f>
        <v>94240294200</v>
      </c>
      <c r="I215" s="5" t="s">
        <v>29</v>
      </c>
      <c r="J215" s="5" t="s">
        <v>30</v>
      </c>
      <c r="K215" s="5" t="str">
        <f>CONCATENATE("")</f>
        <v/>
      </c>
      <c r="L215" s="5" t="str">
        <f>CONCATENATE("11 11.2 4b")</f>
        <v>11 11.2 4b</v>
      </c>
      <c r="M215" s="5" t="str">
        <f>CONCATENATE("DNGLNI57L41G005S")</f>
        <v>DNGLNI57L41G005S</v>
      </c>
      <c r="N215" s="5" t="s">
        <v>297</v>
      </c>
      <c r="O215" s="5" t="s">
        <v>207</v>
      </c>
      <c r="P215" s="6">
        <v>43987</v>
      </c>
      <c r="Q215" s="5" t="s">
        <v>31</v>
      </c>
      <c r="R215" s="5" t="s">
        <v>32</v>
      </c>
      <c r="S215" s="5" t="s">
        <v>33</v>
      </c>
      <c r="T215" s="5"/>
      <c r="U215" s="5">
        <v>105.88</v>
      </c>
      <c r="V215" s="5">
        <v>45.66</v>
      </c>
      <c r="W215" s="5">
        <v>42.16</v>
      </c>
      <c r="X215" s="5">
        <v>0</v>
      </c>
      <c r="Y215" s="5">
        <v>18.059999999999999</v>
      </c>
    </row>
    <row r="216" spans="1:25" ht="24.75" x14ac:dyDescent="0.25">
      <c r="A216" s="5" t="s">
        <v>26</v>
      </c>
      <c r="B216" s="5" t="s">
        <v>38</v>
      </c>
      <c r="C216" s="5" t="s">
        <v>49</v>
      </c>
      <c r="D216" s="5" t="s">
        <v>50</v>
      </c>
      <c r="E216" s="5" t="s">
        <v>36</v>
      </c>
      <c r="F216" s="5" t="s">
        <v>36</v>
      </c>
      <c r="G216" s="5">
        <v>2019</v>
      </c>
      <c r="H216" s="5" t="str">
        <f>CONCATENATE("94241018913")</f>
        <v>94241018913</v>
      </c>
      <c r="I216" s="5" t="s">
        <v>41</v>
      </c>
      <c r="J216" s="5" t="s">
        <v>30</v>
      </c>
      <c r="K216" s="5" t="str">
        <f>CONCATENATE("")</f>
        <v/>
      </c>
      <c r="L216" s="5" t="str">
        <f>CONCATENATE("11 11.2 4b")</f>
        <v>11 11.2 4b</v>
      </c>
      <c r="M216" s="5" t="str">
        <f>CONCATENATE("SPNRLB61M44F415O")</f>
        <v>SPNRLB61M44F415O</v>
      </c>
      <c r="N216" s="5" t="s">
        <v>298</v>
      </c>
      <c r="O216" s="5" t="s">
        <v>207</v>
      </c>
      <c r="P216" s="6">
        <v>43987</v>
      </c>
      <c r="Q216" s="5" t="s">
        <v>31</v>
      </c>
      <c r="R216" s="5" t="s">
        <v>32</v>
      </c>
      <c r="S216" s="5" t="s">
        <v>33</v>
      </c>
      <c r="T216" s="5"/>
      <c r="U216" s="5">
        <v>232.93</v>
      </c>
      <c r="V216" s="5">
        <v>100.44</v>
      </c>
      <c r="W216" s="5">
        <v>92.75</v>
      </c>
      <c r="X216" s="5">
        <v>0</v>
      </c>
      <c r="Y216" s="5">
        <v>39.74</v>
      </c>
    </row>
    <row r="217" spans="1:25" ht="24.75" x14ac:dyDescent="0.25">
      <c r="A217" s="5" t="s">
        <v>26</v>
      </c>
      <c r="B217" s="5" t="s">
        <v>38</v>
      </c>
      <c r="C217" s="5" t="s">
        <v>49</v>
      </c>
      <c r="D217" s="5" t="s">
        <v>50</v>
      </c>
      <c r="E217" s="5" t="s">
        <v>39</v>
      </c>
      <c r="F217" s="5" t="s">
        <v>66</v>
      </c>
      <c r="G217" s="5">
        <v>2019</v>
      </c>
      <c r="H217" s="5" t="str">
        <f>CONCATENATE("94240395874")</f>
        <v>94240395874</v>
      </c>
      <c r="I217" s="5" t="s">
        <v>41</v>
      </c>
      <c r="J217" s="5" t="s">
        <v>30</v>
      </c>
      <c r="K217" s="5" t="str">
        <f>CONCATENATE("")</f>
        <v/>
      </c>
      <c r="L217" s="5" t="str">
        <f>CONCATENATE("11 11.2 4b")</f>
        <v>11 11.2 4b</v>
      </c>
      <c r="M217" s="5" t="str">
        <f>CONCATENATE("VTTGCR57B10F487C")</f>
        <v>VTTGCR57B10F487C</v>
      </c>
      <c r="N217" s="5" t="s">
        <v>299</v>
      </c>
      <c r="O217" s="5" t="s">
        <v>207</v>
      </c>
      <c r="P217" s="6">
        <v>43987</v>
      </c>
      <c r="Q217" s="5" t="s">
        <v>31</v>
      </c>
      <c r="R217" s="5" t="s">
        <v>32</v>
      </c>
      <c r="S217" s="5" t="s">
        <v>33</v>
      </c>
      <c r="T217" s="5"/>
      <c r="U217" s="5">
        <v>273.3</v>
      </c>
      <c r="V217" s="5">
        <v>117.85</v>
      </c>
      <c r="W217" s="5">
        <v>108.83</v>
      </c>
      <c r="X217" s="5">
        <v>0</v>
      </c>
      <c r="Y217" s="5">
        <v>46.62</v>
      </c>
    </row>
    <row r="218" spans="1:25" x14ac:dyDescent="0.25">
      <c r="A218" s="5" t="s">
        <v>26</v>
      </c>
      <c r="B218" s="5" t="s">
        <v>38</v>
      </c>
      <c r="C218" s="5" t="s">
        <v>49</v>
      </c>
      <c r="D218" s="5" t="s">
        <v>87</v>
      </c>
      <c r="E218" s="5" t="s">
        <v>35</v>
      </c>
      <c r="F218" s="5" t="s">
        <v>128</v>
      </c>
      <c r="G218" s="5">
        <v>2019</v>
      </c>
      <c r="H218" s="5" t="str">
        <f>CONCATENATE("94240868987")</f>
        <v>94240868987</v>
      </c>
      <c r="I218" s="5" t="s">
        <v>29</v>
      </c>
      <c r="J218" s="5" t="s">
        <v>30</v>
      </c>
      <c r="K218" s="5" t="str">
        <f>CONCATENATE("")</f>
        <v/>
      </c>
      <c r="L218" s="5" t="str">
        <f>CONCATENATE("11 11.1 4b")</f>
        <v>11 11.1 4b</v>
      </c>
      <c r="M218" s="5" t="str">
        <f>CONCATENATE("BNCMRC73E05I156G")</f>
        <v>BNCMRC73E05I156G</v>
      </c>
      <c r="N218" s="5" t="s">
        <v>300</v>
      </c>
      <c r="O218" s="5" t="s">
        <v>207</v>
      </c>
      <c r="P218" s="6">
        <v>43987</v>
      </c>
      <c r="Q218" s="5" t="s">
        <v>31</v>
      </c>
      <c r="R218" s="5" t="s">
        <v>32</v>
      </c>
      <c r="S218" s="5" t="s">
        <v>33</v>
      </c>
      <c r="T218" s="5"/>
      <c r="U218" s="7">
        <v>1868.49</v>
      </c>
      <c r="V218" s="5">
        <v>805.69</v>
      </c>
      <c r="W218" s="5">
        <v>744.03</v>
      </c>
      <c r="X218" s="5">
        <v>0</v>
      </c>
      <c r="Y218" s="5">
        <v>318.77</v>
      </c>
    </row>
    <row r="219" spans="1:25" ht="24.75" x14ac:dyDescent="0.25">
      <c r="A219" s="5" t="s">
        <v>26</v>
      </c>
      <c r="B219" s="5" t="s">
        <v>38</v>
      </c>
      <c r="C219" s="5" t="s">
        <v>49</v>
      </c>
      <c r="D219" s="5" t="s">
        <v>50</v>
      </c>
      <c r="E219" s="5" t="s">
        <v>34</v>
      </c>
      <c r="F219" s="5" t="s">
        <v>301</v>
      </c>
      <c r="G219" s="5">
        <v>2019</v>
      </c>
      <c r="H219" s="5" t="str">
        <f>CONCATENATE("94240618861")</f>
        <v>94240618861</v>
      </c>
      <c r="I219" s="5" t="s">
        <v>41</v>
      </c>
      <c r="J219" s="5" t="s">
        <v>30</v>
      </c>
      <c r="K219" s="5" t="str">
        <f>CONCATENATE("")</f>
        <v/>
      </c>
      <c r="L219" s="5" t="str">
        <f>CONCATENATE("11 11.1 4b")</f>
        <v>11 11.1 4b</v>
      </c>
      <c r="M219" s="5" t="str">
        <f>CONCATENATE("PLTPLA76B28D542M")</f>
        <v>PLTPLA76B28D542M</v>
      </c>
      <c r="N219" s="5" t="s">
        <v>302</v>
      </c>
      <c r="O219" s="5" t="s">
        <v>207</v>
      </c>
      <c r="P219" s="6">
        <v>43987</v>
      </c>
      <c r="Q219" s="5" t="s">
        <v>31</v>
      </c>
      <c r="R219" s="5" t="s">
        <v>32</v>
      </c>
      <c r="S219" s="5" t="s">
        <v>33</v>
      </c>
      <c r="T219" s="5"/>
      <c r="U219" s="5">
        <v>335.46</v>
      </c>
      <c r="V219" s="5">
        <v>144.65</v>
      </c>
      <c r="W219" s="5">
        <v>133.58000000000001</v>
      </c>
      <c r="X219" s="5">
        <v>0</v>
      </c>
      <c r="Y219" s="5">
        <v>57.23</v>
      </c>
    </row>
    <row r="220" spans="1:25" ht="24.75" x14ac:dyDescent="0.25">
      <c r="A220" s="5" t="s">
        <v>26</v>
      </c>
      <c r="B220" s="5" t="s">
        <v>38</v>
      </c>
      <c r="C220" s="5" t="s">
        <v>49</v>
      </c>
      <c r="D220" s="5" t="s">
        <v>50</v>
      </c>
      <c r="E220" s="5" t="s">
        <v>34</v>
      </c>
      <c r="F220" s="5" t="s">
        <v>218</v>
      </c>
      <c r="G220" s="5">
        <v>2019</v>
      </c>
      <c r="H220" s="5" t="str">
        <f>CONCATENATE("94240664329")</f>
        <v>94240664329</v>
      </c>
      <c r="I220" s="5" t="s">
        <v>41</v>
      </c>
      <c r="J220" s="5" t="s">
        <v>30</v>
      </c>
      <c r="K220" s="5" t="str">
        <f>CONCATENATE("")</f>
        <v/>
      </c>
      <c r="L220" s="5" t="str">
        <f>CONCATENATE("11 11.2 4b")</f>
        <v>11 11.2 4b</v>
      </c>
      <c r="M220" s="5" t="str">
        <f>CONCATENATE("00702770447")</f>
        <v>00702770447</v>
      </c>
      <c r="N220" s="5" t="s">
        <v>303</v>
      </c>
      <c r="O220" s="5" t="s">
        <v>207</v>
      </c>
      <c r="P220" s="6">
        <v>43987</v>
      </c>
      <c r="Q220" s="5" t="s">
        <v>31</v>
      </c>
      <c r="R220" s="5" t="s">
        <v>32</v>
      </c>
      <c r="S220" s="5" t="s">
        <v>33</v>
      </c>
      <c r="T220" s="5"/>
      <c r="U220" s="5">
        <v>288.02</v>
      </c>
      <c r="V220" s="5">
        <v>124.19</v>
      </c>
      <c r="W220" s="5">
        <v>114.69</v>
      </c>
      <c r="X220" s="5">
        <v>0</v>
      </c>
      <c r="Y220" s="5">
        <v>49.14</v>
      </c>
    </row>
    <row r="221" spans="1:25" x14ac:dyDescent="0.25">
      <c r="A221" s="5" t="s">
        <v>26</v>
      </c>
      <c r="B221" s="5" t="s">
        <v>38</v>
      </c>
      <c r="C221" s="5" t="s">
        <v>49</v>
      </c>
      <c r="D221" s="5" t="s">
        <v>87</v>
      </c>
      <c r="E221" s="5" t="s">
        <v>39</v>
      </c>
      <c r="F221" s="5" t="s">
        <v>102</v>
      </c>
      <c r="G221" s="5">
        <v>2019</v>
      </c>
      <c r="H221" s="5" t="str">
        <f>CONCATENATE("94240792203")</f>
        <v>94240792203</v>
      </c>
      <c r="I221" s="5" t="s">
        <v>29</v>
      </c>
      <c r="J221" s="5" t="s">
        <v>30</v>
      </c>
      <c r="K221" s="5" t="str">
        <f>CONCATENATE("")</f>
        <v/>
      </c>
      <c r="L221" s="5" t="str">
        <f>CONCATENATE("11 11.2 4b")</f>
        <v>11 11.2 4b</v>
      </c>
      <c r="M221" s="5" t="str">
        <f>CONCATENATE("MRNFNC81T03B041Z")</f>
        <v>MRNFNC81T03B041Z</v>
      </c>
      <c r="N221" s="5" t="s">
        <v>304</v>
      </c>
      <c r="O221" s="5" t="s">
        <v>207</v>
      </c>
      <c r="P221" s="6">
        <v>43987</v>
      </c>
      <c r="Q221" s="5" t="s">
        <v>31</v>
      </c>
      <c r="R221" s="5" t="s">
        <v>32</v>
      </c>
      <c r="S221" s="5" t="s">
        <v>33</v>
      </c>
      <c r="T221" s="5"/>
      <c r="U221" s="5">
        <v>948.12</v>
      </c>
      <c r="V221" s="5">
        <v>408.83</v>
      </c>
      <c r="W221" s="5">
        <v>377.54</v>
      </c>
      <c r="X221" s="5">
        <v>0</v>
      </c>
      <c r="Y221" s="5">
        <v>161.75</v>
      </c>
    </row>
    <row r="222" spans="1:25" x14ac:dyDescent="0.25">
      <c r="A222" s="5" t="s">
        <v>26</v>
      </c>
      <c r="B222" s="5" t="s">
        <v>38</v>
      </c>
      <c r="C222" s="5" t="s">
        <v>49</v>
      </c>
      <c r="D222" s="5" t="s">
        <v>87</v>
      </c>
      <c r="E222" s="5" t="s">
        <v>39</v>
      </c>
      <c r="F222" s="5" t="s">
        <v>154</v>
      </c>
      <c r="G222" s="5">
        <v>2017</v>
      </c>
      <c r="H222" s="5" t="str">
        <f>CONCATENATE("74240644976")</f>
        <v>74240644976</v>
      </c>
      <c r="I222" s="5" t="s">
        <v>41</v>
      </c>
      <c r="J222" s="5" t="s">
        <v>30</v>
      </c>
      <c r="K222" s="5" t="str">
        <f>CONCATENATE("")</f>
        <v/>
      </c>
      <c r="L222" s="5" t="str">
        <f>CONCATENATE("11 11.1 4b")</f>
        <v>11 11.1 4b</v>
      </c>
      <c r="M222" s="5" t="str">
        <f>CONCATENATE("MLGMRC82D19C770N")</f>
        <v>MLGMRC82D19C770N</v>
      </c>
      <c r="N222" s="5" t="s">
        <v>305</v>
      </c>
      <c r="O222" s="5" t="s">
        <v>207</v>
      </c>
      <c r="P222" s="6">
        <v>43987</v>
      </c>
      <c r="Q222" s="5" t="s">
        <v>31</v>
      </c>
      <c r="R222" s="5" t="s">
        <v>32</v>
      </c>
      <c r="S222" s="5" t="s">
        <v>33</v>
      </c>
      <c r="T222" s="5"/>
      <c r="U222" s="7">
        <v>3521.46</v>
      </c>
      <c r="V222" s="7">
        <v>1518.45</v>
      </c>
      <c r="W222" s="7">
        <v>1402.25</v>
      </c>
      <c r="X222" s="5">
        <v>0</v>
      </c>
      <c r="Y222" s="5">
        <v>600.76</v>
      </c>
    </row>
    <row r="223" spans="1:25" x14ac:dyDescent="0.25">
      <c r="A223" s="5" t="s">
        <v>26</v>
      </c>
      <c r="B223" s="5" t="s">
        <v>38</v>
      </c>
      <c r="C223" s="5" t="s">
        <v>49</v>
      </c>
      <c r="D223" s="5" t="s">
        <v>87</v>
      </c>
      <c r="E223" s="5" t="s">
        <v>39</v>
      </c>
      <c r="F223" s="5" t="s">
        <v>154</v>
      </c>
      <c r="G223" s="5">
        <v>2018</v>
      </c>
      <c r="H223" s="5" t="str">
        <f>CONCATENATE("84240556906")</f>
        <v>84240556906</v>
      </c>
      <c r="I223" s="5" t="s">
        <v>41</v>
      </c>
      <c r="J223" s="5" t="s">
        <v>30</v>
      </c>
      <c r="K223" s="5" t="str">
        <f>CONCATENATE("")</f>
        <v/>
      </c>
      <c r="L223" s="5" t="str">
        <f>CONCATENATE("11 11.1 4b")</f>
        <v>11 11.1 4b</v>
      </c>
      <c r="M223" s="5" t="str">
        <f>CONCATENATE("MLGMRC82D19C770N")</f>
        <v>MLGMRC82D19C770N</v>
      </c>
      <c r="N223" s="5" t="s">
        <v>305</v>
      </c>
      <c r="O223" s="5" t="s">
        <v>207</v>
      </c>
      <c r="P223" s="6">
        <v>43987</v>
      </c>
      <c r="Q223" s="5" t="s">
        <v>31</v>
      </c>
      <c r="R223" s="5" t="s">
        <v>32</v>
      </c>
      <c r="S223" s="5" t="s">
        <v>33</v>
      </c>
      <c r="T223" s="5"/>
      <c r="U223" s="7">
        <v>3494.82</v>
      </c>
      <c r="V223" s="7">
        <v>1506.97</v>
      </c>
      <c r="W223" s="7">
        <v>1391.64</v>
      </c>
      <c r="X223" s="5">
        <v>0</v>
      </c>
      <c r="Y223" s="5">
        <v>596.21</v>
      </c>
    </row>
    <row r="224" spans="1:25" ht="24.75" x14ac:dyDescent="0.25">
      <c r="A224" s="5" t="s">
        <v>26</v>
      </c>
      <c r="B224" s="5" t="s">
        <v>38</v>
      </c>
      <c r="C224" s="5" t="s">
        <v>49</v>
      </c>
      <c r="D224" s="5" t="s">
        <v>58</v>
      </c>
      <c r="E224" s="5" t="s">
        <v>39</v>
      </c>
      <c r="F224" s="5" t="s">
        <v>72</v>
      </c>
      <c r="G224" s="5">
        <v>2019</v>
      </c>
      <c r="H224" s="5" t="str">
        <f>CONCATENATE("94241118473")</f>
        <v>94241118473</v>
      </c>
      <c r="I224" s="5" t="s">
        <v>29</v>
      </c>
      <c r="J224" s="5" t="s">
        <v>30</v>
      </c>
      <c r="K224" s="5" t="str">
        <f>CONCATENATE("")</f>
        <v/>
      </c>
      <c r="L224" s="5" t="str">
        <f>CONCATENATE("11 11.2 4b")</f>
        <v>11 11.2 4b</v>
      </c>
      <c r="M224" s="5" t="str">
        <f>CONCATENATE("01196350415")</f>
        <v>01196350415</v>
      </c>
      <c r="N224" s="5" t="s">
        <v>306</v>
      </c>
      <c r="O224" s="5" t="s">
        <v>207</v>
      </c>
      <c r="P224" s="6">
        <v>43987</v>
      </c>
      <c r="Q224" s="5" t="s">
        <v>31</v>
      </c>
      <c r="R224" s="5" t="s">
        <v>32</v>
      </c>
      <c r="S224" s="5" t="s">
        <v>33</v>
      </c>
      <c r="T224" s="5"/>
      <c r="U224" s="7">
        <v>3803.09</v>
      </c>
      <c r="V224" s="7">
        <v>1639.89</v>
      </c>
      <c r="W224" s="7">
        <v>1514.39</v>
      </c>
      <c r="X224" s="5">
        <v>0</v>
      </c>
      <c r="Y224" s="5">
        <v>648.80999999999995</v>
      </c>
    </row>
    <row r="225" spans="1:25" ht="24.75" x14ac:dyDescent="0.25">
      <c r="A225" s="5" t="s">
        <v>26</v>
      </c>
      <c r="B225" s="5" t="s">
        <v>38</v>
      </c>
      <c r="C225" s="5" t="s">
        <v>49</v>
      </c>
      <c r="D225" s="5" t="s">
        <v>54</v>
      </c>
      <c r="E225" s="5" t="s">
        <v>45</v>
      </c>
      <c r="F225" s="5" t="s">
        <v>125</v>
      </c>
      <c r="G225" s="5">
        <v>2016</v>
      </c>
      <c r="H225" s="5" t="str">
        <f>CONCATENATE("64240676326")</f>
        <v>64240676326</v>
      </c>
      <c r="I225" s="5" t="s">
        <v>29</v>
      </c>
      <c r="J225" s="5" t="s">
        <v>30</v>
      </c>
      <c r="K225" s="5" t="str">
        <f>CONCATENATE("")</f>
        <v/>
      </c>
      <c r="L225" s="5" t="str">
        <f>CONCATENATE("11 11.2 4b")</f>
        <v>11 11.2 4b</v>
      </c>
      <c r="M225" s="5" t="str">
        <f>CONCATENATE("MNTMRC82C08I608Y")</f>
        <v>MNTMRC82C08I608Y</v>
      </c>
      <c r="N225" s="5" t="s">
        <v>307</v>
      </c>
      <c r="O225" s="5" t="s">
        <v>207</v>
      </c>
      <c r="P225" s="6">
        <v>43987</v>
      </c>
      <c r="Q225" s="5" t="s">
        <v>31</v>
      </c>
      <c r="R225" s="5" t="s">
        <v>32</v>
      </c>
      <c r="S225" s="5" t="s">
        <v>33</v>
      </c>
      <c r="T225" s="5"/>
      <c r="U225" s="7">
        <v>1843.3</v>
      </c>
      <c r="V225" s="5">
        <v>794.83</v>
      </c>
      <c r="W225" s="5">
        <v>734</v>
      </c>
      <c r="X225" s="5">
        <v>0</v>
      </c>
      <c r="Y225" s="5">
        <v>314.47000000000003</v>
      </c>
    </row>
    <row r="226" spans="1:25" ht="24.75" x14ac:dyDescent="0.25">
      <c r="A226" s="5" t="s">
        <v>26</v>
      </c>
      <c r="B226" s="5" t="s">
        <v>38</v>
      </c>
      <c r="C226" s="5" t="s">
        <v>49</v>
      </c>
      <c r="D226" s="5" t="s">
        <v>54</v>
      </c>
      <c r="E226" s="5" t="s">
        <v>45</v>
      </c>
      <c r="F226" s="5" t="s">
        <v>125</v>
      </c>
      <c r="G226" s="5">
        <v>2017</v>
      </c>
      <c r="H226" s="5" t="str">
        <f>CONCATENATE("74240257258")</f>
        <v>74240257258</v>
      </c>
      <c r="I226" s="5" t="s">
        <v>41</v>
      </c>
      <c r="J226" s="5" t="s">
        <v>30</v>
      </c>
      <c r="K226" s="5" t="str">
        <f>CONCATENATE("")</f>
        <v/>
      </c>
      <c r="L226" s="5" t="str">
        <f>CONCATENATE("11 11.2 4b")</f>
        <v>11 11.2 4b</v>
      </c>
      <c r="M226" s="5" t="str">
        <f>CONCATENATE("MNTMRC82C08I608Y")</f>
        <v>MNTMRC82C08I608Y</v>
      </c>
      <c r="N226" s="5" t="s">
        <v>307</v>
      </c>
      <c r="O226" s="5" t="s">
        <v>207</v>
      </c>
      <c r="P226" s="6">
        <v>43987</v>
      </c>
      <c r="Q226" s="5" t="s">
        <v>31</v>
      </c>
      <c r="R226" s="5" t="s">
        <v>32</v>
      </c>
      <c r="S226" s="5" t="s">
        <v>33</v>
      </c>
      <c r="T226" s="5"/>
      <c r="U226" s="7">
        <v>11244.29</v>
      </c>
      <c r="V226" s="7">
        <v>4848.54</v>
      </c>
      <c r="W226" s="7">
        <v>4477.4799999999996</v>
      </c>
      <c r="X226" s="5">
        <v>0</v>
      </c>
      <c r="Y226" s="7">
        <v>1918.27</v>
      </c>
    </row>
    <row r="227" spans="1:25" ht="24.75" x14ac:dyDescent="0.25">
      <c r="A227" s="5" t="s">
        <v>26</v>
      </c>
      <c r="B227" s="5" t="s">
        <v>38</v>
      </c>
      <c r="C227" s="5" t="s">
        <v>49</v>
      </c>
      <c r="D227" s="5" t="s">
        <v>54</v>
      </c>
      <c r="E227" s="5" t="s">
        <v>45</v>
      </c>
      <c r="F227" s="5" t="s">
        <v>125</v>
      </c>
      <c r="G227" s="5">
        <v>2018</v>
      </c>
      <c r="H227" s="5" t="str">
        <f>CONCATENATE("84240052914")</f>
        <v>84240052914</v>
      </c>
      <c r="I227" s="5" t="s">
        <v>29</v>
      </c>
      <c r="J227" s="5" t="s">
        <v>30</v>
      </c>
      <c r="K227" s="5" t="str">
        <f>CONCATENATE("")</f>
        <v/>
      </c>
      <c r="L227" s="5" t="str">
        <f>CONCATENATE("11 11.2 4b")</f>
        <v>11 11.2 4b</v>
      </c>
      <c r="M227" s="5" t="str">
        <f>CONCATENATE("MNTMRC82C08I608Y")</f>
        <v>MNTMRC82C08I608Y</v>
      </c>
      <c r="N227" s="5" t="s">
        <v>307</v>
      </c>
      <c r="O227" s="5" t="s">
        <v>207</v>
      </c>
      <c r="P227" s="6">
        <v>43987</v>
      </c>
      <c r="Q227" s="5" t="s">
        <v>31</v>
      </c>
      <c r="R227" s="5" t="s">
        <v>32</v>
      </c>
      <c r="S227" s="5" t="s">
        <v>33</v>
      </c>
      <c r="T227" s="5"/>
      <c r="U227" s="7">
        <v>17424.46</v>
      </c>
      <c r="V227" s="7">
        <v>7513.43</v>
      </c>
      <c r="W227" s="7">
        <v>6938.42</v>
      </c>
      <c r="X227" s="5">
        <v>0</v>
      </c>
      <c r="Y227" s="7">
        <v>2972.61</v>
      </c>
    </row>
    <row r="228" spans="1:25" ht="24.75" x14ac:dyDescent="0.25">
      <c r="A228" s="5" t="s">
        <v>26</v>
      </c>
      <c r="B228" s="5" t="s">
        <v>38</v>
      </c>
      <c r="C228" s="5" t="s">
        <v>49</v>
      </c>
      <c r="D228" s="5" t="s">
        <v>54</v>
      </c>
      <c r="E228" s="5" t="s">
        <v>45</v>
      </c>
      <c r="F228" s="5" t="s">
        <v>125</v>
      </c>
      <c r="G228" s="5">
        <v>2019</v>
      </c>
      <c r="H228" s="5" t="str">
        <f>CONCATENATE("94240040652")</f>
        <v>94240040652</v>
      </c>
      <c r="I228" s="5" t="s">
        <v>29</v>
      </c>
      <c r="J228" s="5" t="s">
        <v>30</v>
      </c>
      <c r="K228" s="5" t="str">
        <f>CONCATENATE("")</f>
        <v/>
      </c>
      <c r="L228" s="5" t="str">
        <f>CONCATENATE("11 11.2 4b")</f>
        <v>11 11.2 4b</v>
      </c>
      <c r="M228" s="5" t="str">
        <f>CONCATENATE("MNTMRC82C08I608Y")</f>
        <v>MNTMRC82C08I608Y</v>
      </c>
      <c r="N228" s="5" t="s">
        <v>307</v>
      </c>
      <c r="O228" s="5" t="s">
        <v>207</v>
      </c>
      <c r="P228" s="6">
        <v>43987</v>
      </c>
      <c r="Q228" s="5" t="s">
        <v>31</v>
      </c>
      <c r="R228" s="5" t="s">
        <v>32</v>
      </c>
      <c r="S228" s="5" t="s">
        <v>33</v>
      </c>
      <c r="T228" s="5"/>
      <c r="U228" s="7">
        <v>12510.5</v>
      </c>
      <c r="V228" s="7">
        <v>5394.53</v>
      </c>
      <c r="W228" s="7">
        <v>4981.68</v>
      </c>
      <c r="X228" s="5">
        <v>0</v>
      </c>
      <c r="Y228" s="7">
        <v>2134.29</v>
      </c>
    </row>
    <row r="229" spans="1:25" ht="24.75" x14ac:dyDescent="0.25">
      <c r="A229" s="5" t="s">
        <v>26</v>
      </c>
      <c r="B229" s="5" t="s">
        <v>38</v>
      </c>
      <c r="C229" s="5" t="s">
        <v>49</v>
      </c>
      <c r="D229" s="5" t="s">
        <v>58</v>
      </c>
      <c r="E229" s="5" t="s">
        <v>34</v>
      </c>
      <c r="F229" s="5" t="s">
        <v>139</v>
      </c>
      <c r="G229" s="5">
        <v>2019</v>
      </c>
      <c r="H229" s="5" t="str">
        <f>CONCATENATE("94240179245")</f>
        <v>94240179245</v>
      </c>
      <c r="I229" s="5" t="s">
        <v>29</v>
      </c>
      <c r="J229" s="5" t="s">
        <v>30</v>
      </c>
      <c r="K229" s="5" t="str">
        <f>CONCATENATE("")</f>
        <v/>
      </c>
      <c r="L229" s="5" t="str">
        <f>CONCATENATE("11 11.2 4b")</f>
        <v>11 11.2 4b</v>
      </c>
      <c r="M229" s="5" t="str">
        <f>CONCATENATE("01387140419")</f>
        <v>01387140419</v>
      </c>
      <c r="N229" s="5" t="s">
        <v>308</v>
      </c>
      <c r="O229" s="5" t="s">
        <v>207</v>
      </c>
      <c r="P229" s="6">
        <v>43987</v>
      </c>
      <c r="Q229" s="5" t="s">
        <v>31</v>
      </c>
      <c r="R229" s="5" t="s">
        <v>32</v>
      </c>
      <c r="S229" s="5" t="s">
        <v>33</v>
      </c>
      <c r="T229" s="5"/>
      <c r="U229" s="7">
        <v>4508.2700000000004</v>
      </c>
      <c r="V229" s="7">
        <v>1943.97</v>
      </c>
      <c r="W229" s="7">
        <v>1795.19</v>
      </c>
      <c r="X229" s="5">
        <v>0</v>
      </c>
      <c r="Y229" s="5">
        <v>769.11</v>
      </c>
    </row>
    <row r="230" spans="1:25" ht="24.75" x14ac:dyDescent="0.25">
      <c r="A230" s="5" t="s">
        <v>26</v>
      </c>
      <c r="B230" s="5" t="s">
        <v>38</v>
      </c>
      <c r="C230" s="5" t="s">
        <v>49</v>
      </c>
      <c r="D230" s="5" t="s">
        <v>58</v>
      </c>
      <c r="E230" s="5" t="s">
        <v>39</v>
      </c>
      <c r="F230" s="5" t="s">
        <v>97</v>
      </c>
      <c r="G230" s="5">
        <v>2019</v>
      </c>
      <c r="H230" s="5" t="str">
        <f>CONCATENATE("94240710676")</f>
        <v>94240710676</v>
      </c>
      <c r="I230" s="5" t="s">
        <v>41</v>
      </c>
      <c r="J230" s="5" t="s">
        <v>30</v>
      </c>
      <c r="K230" s="5" t="str">
        <f>CONCATENATE("")</f>
        <v/>
      </c>
      <c r="L230" s="5" t="str">
        <f>CONCATENATE("11 11.1 4b")</f>
        <v>11 11.1 4b</v>
      </c>
      <c r="M230" s="5" t="str">
        <f>CONCATENATE("FRRMRA61L13B352A")</f>
        <v>FRRMRA61L13B352A</v>
      </c>
      <c r="N230" s="5" t="s">
        <v>309</v>
      </c>
      <c r="O230" s="5" t="s">
        <v>207</v>
      </c>
      <c r="P230" s="6">
        <v>43987</v>
      </c>
      <c r="Q230" s="5" t="s">
        <v>31</v>
      </c>
      <c r="R230" s="5" t="s">
        <v>32</v>
      </c>
      <c r="S230" s="5" t="s">
        <v>33</v>
      </c>
      <c r="T230" s="5"/>
      <c r="U230" s="5">
        <v>217.4</v>
      </c>
      <c r="V230" s="5">
        <v>93.74</v>
      </c>
      <c r="W230" s="5">
        <v>86.57</v>
      </c>
      <c r="X230" s="5">
        <v>0</v>
      </c>
      <c r="Y230" s="5">
        <v>37.090000000000003</v>
      </c>
    </row>
    <row r="231" spans="1:25" ht="24.75" x14ac:dyDescent="0.25">
      <c r="A231" s="5" t="s">
        <v>26</v>
      </c>
      <c r="B231" s="5" t="s">
        <v>38</v>
      </c>
      <c r="C231" s="5" t="s">
        <v>49</v>
      </c>
      <c r="D231" s="5" t="s">
        <v>50</v>
      </c>
      <c r="E231" s="5" t="s">
        <v>34</v>
      </c>
      <c r="F231" s="5" t="s">
        <v>151</v>
      </c>
      <c r="G231" s="5">
        <v>2018</v>
      </c>
      <c r="H231" s="5" t="str">
        <f>CONCATENATE("84240856009")</f>
        <v>84240856009</v>
      </c>
      <c r="I231" s="5" t="s">
        <v>41</v>
      </c>
      <c r="J231" s="5" t="s">
        <v>30</v>
      </c>
      <c r="K231" s="5" t="str">
        <f>CONCATENATE("")</f>
        <v/>
      </c>
      <c r="L231" s="5" t="str">
        <f>CONCATENATE("11 11.2 4b")</f>
        <v>11 11.2 4b</v>
      </c>
      <c r="M231" s="5" t="str">
        <f>CONCATENATE("LNCSRM85H29H501O")</f>
        <v>LNCSRM85H29H501O</v>
      </c>
      <c r="N231" s="5" t="s">
        <v>310</v>
      </c>
      <c r="O231" s="5" t="s">
        <v>207</v>
      </c>
      <c r="P231" s="6">
        <v>43987</v>
      </c>
      <c r="Q231" s="5" t="s">
        <v>31</v>
      </c>
      <c r="R231" s="5" t="s">
        <v>32</v>
      </c>
      <c r="S231" s="5" t="s">
        <v>33</v>
      </c>
      <c r="T231" s="5"/>
      <c r="U231" s="7">
        <v>9627.9</v>
      </c>
      <c r="V231" s="7">
        <v>4151.55</v>
      </c>
      <c r="W231" s="7">
        <v>3833.83</v>
      </c>
      <c r="X231" s="5">
        <v>0</v>
      </c>
      <c r="Y231" s="7">
        <v>1642.52</v>
      </c>
    </row>
    <row r="232" spans="1:25" ht="24.75" x14ac:dyDescent="0.25">
      <c r="A232" s="5" t="s">
        <v>26</v>
      </c>
      <c r="B232" s="5" t="s">
        <v>38</v>
      </c>
      <c r="C232" s="5" t="s">
        <v>49</v>
      </c>
      <c r="D232" s="5" t="s">
        <v>50</v>
      </c>
      <c r="E232" s="5" t="s">
        <v>34</v>
      </c>
      <c r="F232" s="5" t="s">
        <v>151</v>
      </c>
      <c r="G232" s="5">
        <v>2019</v>
      </c>
      <c r="H232" s="5" t="str">
        <f>CONCATENATE("94240875925")</f>
        <v>94240875925</v>
      </c>
      <c r="I232" s="5" t="s">
        <v>29</v>
      </c>
      <c r="J232" s="5" t="s">
        <v>30</v>
      </c>
      <c r="K232" s="5" t="str">
        <f>CONCATENATE("")</f>
        <v/>
      </c>
      <c r="L232" s="5" t="str">
        <f>CONCATENATE("11 11.2 4b")</f>
        <v>11 11.2 4b</v>
      </c>
      <c r="M232" s="5" t="str">
        <f>CONCATENATE("LNCSRM85H29H501O")</f>
        <v>LNCSRM85H29H501O</v>
      </c>
      <c r="N232" s="5" t="s">
        <v>310</v>
      </c>
      <c r="O232" s="5" t="s">
        <v>207</v>
      </c>
      <c r="P232" s="6">
        <v>43987</v>
      </c>
      <c r="Q232" s="5" t="s">
        <v>31</v>
      </c>
      <c r="R232" s="5" t="s">
        <v>32</v>
      </c>
      <c r="S232" s="5" t="s">
        <v>33</v>
      </c>
      <c r="T232" s="5"/>
      <c r="U232" s="7">
        <v>10961.33</v>
      </c>
      <c r="V232" s="7">
        <v>4726.53</v>
      </c>
      <c r="W232" s="7">
        <v>4364.8</v>
      </c>
      <c r="X232" s="5">
        <v>0</v>
      </c>
      <c r="Y232" s="7">
        <v>1870</v>
      </c>
    </row>
    <row r="233" spans="1:25" ht="24.75" x14ac:dyDescent="0.25">
      <c r="A233" s="5" t="s">
        <v>26</v>
      </c>
      <c r="B233" s="5" t="s">
        <v>38</v>
      </c>
      <c r="C233" s="5" t="s">
        <v>49</v>
      </c>
      <c r="D233" s="5" t="s">
        <v>50</v>
      </c>
      <c r="E233" s="5" t="s">
        <v>39</v>
      </c>
      <c r="F233" s="5" t="s">
        <v>182</v>
      </c>
      <c r="G233" s="5">
        <v>2019</v>
      </c>
      <c r="H233" s="5" t="str">
        <f>CONCATENATE("94240346638")</f>
        <v>94240346638</v>
      </c>
      <c r="I233" s="5" t="s">
        <v>29</v>
      </c>
      <c r="J233" s="5" t="s">
        <v>30</v>
      </c>
      <c r="K233" s="5" t="str">
        <f>CONCATENATE("")</f>
        <v/>
      </c>
      <c r="L233" s="5" t="str">
        <f>CONCATENATE("11 11.2 4b")</f>
        <v>11 11.2 4b</v>
      </c>
      <c r="M233" s="5" t="str">
        <f>CONCATENATE("LNDVNT83L19H769B")</f>
        <v>LNDVNT83L19H769B</v>
      </c>
      <c r="N233" s="5" t="s">
        <v>311</v>
      </c>
      <c r="O233" s="5" t="s">
        <v>207</v>
      </c>
      <c r="P233" s="6">
        <v>43987</v>
      </c>
      <c r="Q233" s="5" t="s">
        <v>31</v>
      </c>
      <c r="R233" s="5" t="s">
        <v>32</v>
      </c>
      <c r="S233" s="5" t="s">
        <v>33</v>
      </c>
      <c r="T233" s="5"/>
      <c r="U233" s="5">
        <v>675.33</v>
      </c>
      <c r="V233" s="5">
        <v>291.2</v>
      </c>
      <c r="W233" s="5">
        <v>268.92</v>
      </c>
      <c r="X233" s="5">
        <v>0</v>
      </c>
      <c r="Y233" s="5">
        <v>115.21</v>
      </c>
    </row>
    <row r="234" spans="1:25" ht="24.75" x14ac:dyDescent="0.25">
      <c r="A234" s="5" t="s">
        <v>26</v>
      </c>
      <c r="B234" s="5" t="s">
        <v>38</v>
      </c>
      <c r="C234" s="5" t="s">
        <v>49</v>
      </c>
      <c r="D234" s="5" t="s">
        <v>50</v>
      </c>
      <c r="E234" s="5" t="s">
        <v>39</v>
      </c>
      <c r="F234" s="5" t="s">
        <v>182</v>
      </c>
      <c r="G234" s="5">
        <v>2019</v>
      </c>
      <c r="H234" s="5" t="str">
        <f>CONCATENATE("94240347958")</f>
        <v>94240347958</v>
      </c>
      <c r="I234" s="5" t="s">
        <v>29</v>
      </c>
      <c r="J234" s="5" t="s">
        <v>30</v>
      </c>
      <c r="K234" s="5" t="str">
        <f>CONCATENATE("")</f>
        <v/>
      </c>
      <c r="L234" s="5" t="str">
        <f>CONCATENATE("11 11.2 4b")</f>
        <v>11 11.2 4b</v>
      </c>
      <c r="M234" s="5" t="str">
        <f>CONCATENATE("DSBMNL81M61H769H")</f>
        <v>DSBMNL81M61H769H</v>
      </c>
      <c r="N234" s="5" t="s">
        <v>312</v>
      </c>
      <c r="O234" s="5" t="s">
        <v>207</v>
      </c>
      <c r="P234" s="6">
        <v>43987</v>
      </c>
      <c r="Q234" s="5" t="s">
        <v>31</v>
      </c>
      <c r="R234" s="5" t="s">
        <v>32</v>
      </c>
      <c r="S234" s="5" t="s">
        <v>33</v>
      </c>
      <c r="T234" s="5"/>
      <c r="U234" s="7">
        <v>1611.69</v>
      </c>
      <c r="V234" s="5">
        <v>694.96</v>
      </c>
      <c r="W234" s="5">
        <v>641.77</v>
      </c>
      <c r="X234" s="5">
        <v>0</v>
      </c>
      <c r="Y234" s="5">
        <v>274.95999999999998</v>
      </c>
    </row>
    <row r="235" spans="1:25" ht="24.75" x14ac:dyDescent="0.25">
      <c r="A235" s="5" t="s">
        <v>26</v>
      </c>
      <c r="B235" s="5" t="s">
        <v>38</v>
      </c>
      <c r="C235" s="5" t="s">
        <v>49</v>
      </c>
      <c r="D235" s="5" t="s">
        <v>54</v>
      </c>
      <c r="E235" s="5" t="s">
        <v>34</v>
      </c>
      <c r="F235" s="5" t="s">
        <v>313</v>
      </c>
      <c r="G235" s="5">
        <v>2019</v>
      </c>
      <c r="H235" s="5" t="str">
        <f>CONCATENATE("94241032518")</f>
        <v>94241032518</v>
      </c>
      <c r="I235" s="5" t="s">
        <v>29</v>
      </c>
      <c r="J235" s="5" t="s">
        <v>30</v>
      </c>
      <c r="K235" s="5" t="str">
        <f>CONCATENATE("")</f>
        <v/>
      </c>
      <c r="L235" s="5" t="str">
        <f>CONCATENATE("11 11.1 4b")</f>
        <v>11 11.1 4b</v>
      </c>
      <c r="M235" s="5" t="str">
        <f>CONCATENATE("02747500425")</f>
        <v>02747500425</v>
      </c>
      <c r="N235" s="5" t="s">
        <v>314</v>
      </c>
      <c r="O235" s="5" t="s">
        <v>207</v>
      </c>
      <c r="P235" s="6">
        <v>43987</v>
      </c>
      <c r="Q235" s="5" t="s">
        <v>31</v>
      </c>
      <c r="R235" s="5" t="s">
        <v>32</v>
      </c>
      <c r="S235" s="5" t="s">
        <v>33</v>
      </c>
      <c r="T235" s="5"/>
      <c r="U235" s="7">
        <v>6234.16</v>
      </c>
      <c r="V235" s="7">
        <v>2688.17</v>
      </c>
      <c r="W235" s="7">
        <v>2482.44</v>
      </c>
      <c r="X235" s="5">
        <v>0</v>
      </c>
      <c r="Y235" s="7">
        <v>1063.55</v>
      </c>
    </row>
    <row r="236" spans="1:25" x14ac:dyDescent="0.25">
      <c r="A236" s="5" t="s">
        <v>26</v>
      </c>
      <c r="B236" s="5" t="s">
        <v>38</v>
      </c>
      <c r="C236" s="5" t="s">
        <v>49</v>
      </c>
      <c r="D236" s="5" t="s">
        <v>87</v>
      </c>
      <c r="E236" s="5" t="s">
        <v>45</v>
      </c>
      <c r="F236" s="5" t="s">
        <v>121</v>
      </c>
      <c r="G236" s="5">
        <v>2019</v>
      </c>
      <c r="H236" s="5" t="str">
        <f>CONCATENATE("94240789704")</f>
        <v>94240789704</v>
      </c>
      <c r="I236" s="5" t="s">
        <v>29</v>
      </c>
      <c r="J236" s="5" t="s">
        <v>30</v>
      </c>
      <c r="K236" s="5" t="str">
        <f>CONCATENATE("")</f>
        <v/>
      </c>
      <c r="L236" s="5" t="str">
        <f>CONCATENATE("11 11.1 4b")</f>
        <v>11 11.1 4b</v>
      </c>
      <c r="M236" s="5" t="str">
        <f>CONCATENATE("DDNCTA63L68C770Q")</f>
        <v>DDNCTA63L68C770Q</v>
      </c>
      <c r="N236" s="5" t="s">
        <v>236</v>
      </c>
      <c r="O236" s="5" t="s">
        <v>207</v>
      </c>
      <c r="P236" s="6">
        <v>43987</v>
      </c>
      <c r="Q236" s="5" t="s">
        <v>31</v>
      </c>
      <c r="R236" s="5" t="s">
        <v>32</v>
      </c>
      <c r="S236" s="5" t="s">
        <v>33</v>
      </c>
      <c r="T236" s="5"/>
      <c r="U236" s="7">
        <v>3119.3</v>
      </c>
      <c r="V236" s="7">
        <v>1345.04</v>
      </c>
      <c r="W236" s="7">
        <v>1242.1099999999999</v>
      </c>
      <c r="X236" s="5">
        <v>0</v>
      </c>
      <c r="Y236" s="5">
        <v>532.15</v>
      </c>
    </row>
    <row r="237" spans="1:25" x14ac:dyDescent="0.25">
      <c r="A237" s="5" t="s">
        <v>26</v>
      </c>
      <c r="B237" s="5" t="s">
        <v>38</v>
      </c>
      <c r="C237" s="5" t="s">
        <v>49</v>
      </c>
      <c r="D237" s="5" t="s">
        <v>87</v>
      </c>
      <c r="E237" s="5" t="s">
        <v>45</v>
      </c>
      <c r="F237" s="5" t="s">
        <v>121</v>
      </c>
      <c r="G237" s="5">
        <v>2019</v>
      </c>
      <c r="H237" s="5" t="str">
        <f>CONCATENATE("94240173362")</f>
        <v>94240173362</v>
      </c>
      <c r="I237" s="5" t="s">
        <v>29</v>
      </c>
      <c r="J237" s="5" t="s">
        <v>30</v>
      </c>
      <c r="K237" s="5" t="str">
        <f>CONCATENATE("")</f>
        <v/>
      </c>
      <c r="L237" s="5" t="str">
        <f>CONCATENATE("11 11.1 4b")</f>
        <v>11 11.1 4b</v>
      </c>
      <c r="M237" s="5" t="str">
        <f>CONCATENATE("SNTLRA76A58F347J")</f>
        <v>SNTLRA76A58F347J</v>
      </c>
      <c r="N237" s="5" t="s">
        <v>250</v>
      </c>
      <c r="O237" s="5" t="s">
        <v>207</v>
      </c>
      <c r="P237" s="6">
        <v>43987</v>
      </c>
      <c r="Q237" s="5" t="s">
        <v>31</v>
      </c>
      <c r="R237" s="5" t="s">
        <v>32</v>
      </c>
      <c r="S237" s="5" t="s">
        <v>33</v>
      </c>
      <c r="T237" s="5"/>
      <c r="U237" s="5">
        <v>421.62</v>
      </c>
      <c r="V237" s="5">
        <v>181.8</v>
      </c>
      <c r="W237" s="5">
        <v>167.89</v>
      </c>
      <c r="X237" s="5">
        <v>0</v>
      </c>
      <c r="Y237" s="5">
        <v>71.930000000000007</v>
      </c>
    </row>
    <row r="238" spans="1:25" ht="24.75" x14ac:dyDescent="0.25">
      <c r="A238" s="5" t="s">
        <v>26</v>
      </c>
      <c r="B238" s="5" t="s">
        <v>38</v>
      </c>
      <c r="C238" s="5" t="s">
        <v>49</v>
      </c>
      <c r="D238" s="5" t="s">
        <v>50</v>
      </c>
      <c r="E238" s="5" t="s">
        <v>39</v>
      </c>
      <c r="F238" s="5" t="s">
        <v>51</v>
      </c>
      <c r="G238" s="5">
        <v>2019</v>
      </c>
      <c r="H238" s="5" t="str">
        <f>CONCATENATE("94240182397")</f>
        <v>94240182397</v>
      </c>
      <c r="I238" s="5" t="s">
        <v>29</v>
      </c>
      <c r="J238" s="5" t="s">
        <v>30</v>
      </c>
      <c r="K238" s="5" t="str">
        <f>CONCATENATE("")</f>
        <v/>
      </c>
      <c r="L238" s="5" t="str">
        <f>CONCATENATE("11 11.2 4b")</f>
        <v>11 11.2 4b</v>
      </c>
      <c r="M238" s="5" t="str">
        <f>CONCATENATE("MDNVRM72P69F205Y")</f>
        <v>MDNVRM72P69F205Y</v>
      </c>
      <c r="N238" s="5" t="s">
        <v>315</v>
      </c>
      <c r="O238" s="5" t="s">
        <v>207</v>
      </c>
      <c r="P238" s="6">
        <v>43987</v>
      </c>
      <c r="Q238" s="5" t="s">
        <v>31</v>
      </c>
      <c r="R238" s="5" t="s">
        <v>32</v>
      </c>
      <c r="S238" s="5" t="s">
        <v>33</v>
      </c>
      <c r="T238" s="5"/>
      <c r="U238" s="5">
        <v>370.54</v>
      </c>
      <c r="V238" s="5">
        <v>159.78</v>
      </c>
      <c r="W238" s="5">
        <v>147.55000000000001</v>
      </c>
      <c r="X238" s="5">
        <v>0</v>
      </c>
      <c r="Y238" s="5">
        <v>63.21</v>
      </c>
    </row>
    <row r="239" spans="1:25" x14ac:dyDescent="0.25">
      <c r="A239" s="5" t="s">
        <v>26</v>
      </c>
      <c r="B239" s="5" t="s">
        <v>38</v>
      </c>
      <c r="C239" s="5" t="s">
        <v>49</v>
      </c>
      <c r="D239" s="5" t="s">
        <v>87</v>
      </c>
      <c r="E239" s="5" t="s">
        <v>35</v>
      </c>
      <c r="F239" s="5" t="s">
        <v>128</v>
      </c>
      <c r="G239" s="5">
        <v>2019</v>
      </c>
      <c r="H239" s="5" t="str">
        <f>CONCATENATE("94240402662")</f>
        <v>94240402662</v>
      </c>
      <c r="I239" s="5" t="s">
        <v>29</v>
      </c>
      <c r="J239" s="5" t="s">
        <v>30</v>
      </c>
      <c r="K239" s="5" t="str">
        <f>CONCATENATE("")</f>
        <v/>
      </c>
      <c r="L239" s="5" t="str">
        <f>CONCATENATE("11 11.2 4b")</f>
        <v>11 11.2 4b</v>
      </c>
      <c r="M239" s="5" t="str">
        <f>CONCATENATE("STFNRC56T11A334Q")</f>
        <v>STFNRC56T11A334Q</v>
      </c>
      <c r="N239" s="5" t="s">
        <v>316</v>
      </c>
      <c r="O239" s="5" t="s">
        <v>207</v>
      </c>
      <c r="P239" s="6">
        <v>43987</v>
      </c>
      <c r="Q239" s="5" t="s">
        <v>31</v>
      </c>
      <c r="R239" s="5" t="s">
        <v>32</v>
      </c>
      <c r="S239" s="5" t="s">
        <v>33</v>
      </c>
      <c r="T239" s="5"/>
      <c r="U239" s="5">
        <v>47.78</v>
      </c>
      <c r="V239" s="5">
        <v>20.6</v>
      </c>
      <c r="W239" s="5">
        <v>19.03</v>
      </c>
      <c r="X239" s="5">
        <v>0</v>
      </c>
      <c r="Y239" s="5">
        <v>8.15</v>
      </c>
    </row>
    <row r="240" spans="1:25" ht="24.75" x14ac:dyDescent="0.25">
      <c r="A240" s="5" t="s">
        <v>26</v>
      </c>
      <c r="B240" s="5" t="s">
        <v>38</v>
      </c>
      <c r="C240" s="5" t="s">
        <v>49</v>
      </c>
      <c r="D240" s="5" t="s">
        <v>50</v>
      </c>
      <c r="E240" s="5" t="s">
        <v>39</v>
      </c>
      <c r="F240" s="5" t="s">
        <v>66</v>
      </c>
      <c r="G240" s="5">
        <v>2019</v>
      </c>
      <c r="H240" s="5" t="str">
        <f>CONCATENATE("94240694599")</f>
        <v>94240694599</v>
      </c>
      <c r="I240" s="5" t="s">
        <v>29</v>
      </c>
      <c r="J240" s="5" t="s">
        <v>30</v>
      </c>
      <c r="K240" s="5" t="str">
        <f>CONCATENATE("")</f>
        <v/>
      </c>
      <c r="L240" s="5" t="str">
        <f>CONCATENATE("11 11.1 4b")</f>
        <v>11 11.1 4b</v>
      </c>
      <c r="M240" s="5" t="str">
        <f>CONCATENATE("BBRNTN85B01D542U")</f>
        <v>BBRNTN85B01D542U</v>
      </c>
      <c r="N240" s="5" t="s">
        <v>173</v>
      </c>
      <c r="O240" s="5" t="s">
        <v>207</v>
      </c>
      <c r="P240" s="6">
        <v>43987</v>
      </c>
      <c r="Q240" s="5" t="s">
        <v>31</v>
      </c>
      <c r="R240" s="5" t="s">
        <v>32</v>
      </c>
      <c r="S240" s="5" t="s">
        <v>33</v>
      </c>
      <c r="T240" s="5"/>
      <c r="U240" s="7">
        <v>1071.99</v>
      </c>
      <c r="V240" s="5">
        <v>462.24</v>
      </c>
      <c r="W240" s="5">
        <v>426.87</v>
      </c>
      <c r="X240" s="5">
        <v>0</v>
      </c>
      <c r="Y240" s="5">
        <v>182.88</v>
      </c>
    </row>
    <row r="241" spans="1:25" x14ac:dyDescent="0.25">
      <c r="A241" s="5" t="s">
        <v>26</v>
      </c>
      <c r="B241" s="5" t="s">
        <v>38</v>
      </c>
      <c r="C241" s="5" t="s">
        <v>49</v>
      </c>
      <c r="D241" s="5" t="s">
        <v>87</v>
      </c>
      <c r="E241" s="5" t="s">
        <v>35</v>
      </c>
      <c r="F241" s="5" t="s">
        <v>91</v>
      </c>
      <c r="G241" s="5">
        <v>2019</v>
      </c>
      <c r="H241" s="5" t="str">
        <f>CONCATENATE("94240609076")</f>
        <v>94240609076</v>
      </c>
      <c r="I241" s="5" t="s">
        <v>29</v>
      </c>
      <c r="J241" s="5" t="s">
        <v>30</v>
      </c>
      <c r="K241" s="5" t="str">
        <f>CONCATENATE("")</f>
        <v/>
      </c>
      <c r="L241" s="5" t="str">
        <f>CONCATENATE("11 11.2 4b")</f>
        <v>11 11.2 4b</v>
      </c>
      <c r="M241" s="5" t="str">
        <f>CONCATENATE("CRFPPN66A10M078Z")</f>
        <v>CRFPPN66A10M078Z</v>
      </c>
      <c r="N241" s="5" t="s">
        <v>317</v>
      </c>
      <c r="O241" s="5" t="s">
        <v>207</v>
      </c>
      <c r="P241" s="6">
        <v>43987</v>
      </c>
      <c r="Q241" s="5" t="s">
        <v>31</v>
      </c>
      <c r="R241" s="5" t="s">
        <v>32</v>
      </c>
      <c r="S241" s="5" t="s">
        <v>33</v>
      </c>
      <c r="T241" s="5"/>
      <c r="U241" s="7">
        <v>3610.32</v>
      </c>
      <c r="V241" s="7">
        <v>1556.77</v>
      </c>
      <c r="W241" s="7">
        <v>1437.63</v>
      </c>
      <c r="X241" s="5">
        <v>0</v>
      </c>
      <c r="Y241" s="5">
        <v>615.91999999999996</v>
      </c>
    </row>
    <row r="242" spans="1:25" ht="24.75" x14ac:dyDescent="0.25">
      <c r="A242" s="5" t="s">
        <v>26</v>
      </c>
      <c r="B242" s="5" t="s">
        <v>38</v>
      </c>
      <c r="C242" s="5" t="s">
        <v>49</v>
      </c>
      <c r="D242" s="5" t="s">
        <v>50</v>
      </c>
      <c r="E242" s="5" t="s">
        <v>36</v>
      </c>
      <c r="F242" s="5" t="s">
        <v>36</v>
      </c>
      <c r="G242" s="5">
        <v>2019</v>
      </c>
      <c r="H242" s="5" t="str">
        <f>CONCATENATE("94240784457")</f>
        <v>94240784457</v>
      </c>
      <c r="I242" s="5" t="s">
        <v>29</v>
      </c>
      <c r="J242" s="5" t="s">
        <v>30</v>
      </c>
      <c r="K242" s="5" t="str">
        <f>CONCATENATE("")</f>
        <v/>
      </c>
      <c r="L242" s="5" t="str">
        <f>CONCATENATE("11 11.1 4b")</f>
        <v>11 11.1 4b</v>
      </c>
      <c r="M242" s="5" t="str">
        <f>CONCATENATE("04629080260")</f>
        <v>04629080260</v>
      </c>
      <c r="N242" s="5" t="s">
        <v>318</v>
      </c>
      <c r="O242" s="5" t="s">
        <v>207</v>
      </c>
      <c r="P242" s="6">
        <v>43987</v>
      </c>
      <c r="Q242" s="5" t="s">
        <v>31</v>
      </c>
      <c r="R242" s="5" t="s">
        <v>32</v>
      </c>
      <c r="S242" s="5" t="s">
        <v>33</v>
      </c>
      <c r="T242" s="5"/>
      <c r="U242" s="7">
        <v>8197.8799999999992</v>
      </c>
      <c r="V242" s="7">
        <v>3534.93</v>
      </c>
      <c r="W242" s="7">
        <v>3264.4</v>
      </c>
      <c r="X242" s="5">
        <v>0</v>
      </c>
      <c r="Y242" s="7">
        <v>1398.55</v>
      </c>
    </row>
    <row r="243" spans="1:25" ht="24.75" x14ac:dyDescent="0.25">
      <c r="A243" s="5" t="s">
        <v>26</v>
      </c>
      <c r="B243" s="5" t="s">
        <v>38</v>
      </c>
      <c r="C243" s="5" t="s">
        <v>49</v>
      </c>
      <c r="D243" s="5" t="s">
        <v>58</v>
      </c>
      <c r="E243" s="5" t="s">
        <v>43</v>
      </c>
      <c r="F243" s="5" t="s">
        <v>319</v>
      </c>
      <c r="G243" s="5">
        <v>2019</v>
      </c>
      <c r="H243" s="5" t="str">
        <f>CONCATENATE("94241700932")</f>
        <v>94241700932</v>
      </c>
      <c r="I243" s="5" t="s">
        <v>29</v>
      </c>
      <c r="J243" s="5" t="s">
        <v>30</v>
      </c>
      <c r="K243" s="5" t="str">
        <f>CONCATENATE("")</f>
        <v/>
      </c>
      <c r="L243" s="5" t="str">
        <f>CONCATENATE("11 11.2 4b")</f>
        <v>11 11.2 4b</v>
      </c>
      <c r="M243" s="5" t="str">
        <f>CONCATENATE("02605260419")</f>
        <v>02605260419</v>
      </c>
      <c r="N243" s="5" t="s">
        <v>320</v>
      </c>
      <c r="O243" s="5" t="s">
        <v>207</v>
      </c>
      <c r="P243" s="6">
        <v>43987</v>
      </c>
      <c r="Q243" s="5" t="s">
        <v>31</v>
      </c>
      <c r="R243" s="5" t="s">
        <v>32</v>
      </c>
      <c r="S243" s="5" t="s">
        <v>33</v>
      </c>
      <c r="T243" s="5"/>
      <c r="U243" s="5">
        <v>332.72</v>
      </c>
      <c r="V243" s="5">
        <v>143.47</v>
      </c>
      <c r="W243" s="5">
        <v>132.49</v>
      </c>
      <c r="X243" s="5">
        <v>0</v>
      </c>
      <c r="Y243" s="5">
        <v>56.76</v>
      </c>
    </row>
    <row r="244" spans="1:25" ht="24.75" x14ac:dyDescent="0.25">
      <c r="A244" s="5" t="s">
        <v>26</v>
      </c>
      <c r="B244" s="5" t="s">
        <v>38</v>
      </c>
      <c r="C244" s="5" t="s">
        <v>49</v>
      </c>
      <c r="D244" s="5" t="s">
        <v>87</v>
      </c>
      <c r="E244" s="5" t="s">
        <v>39</v>
      </c>
      <c r="F244" s="5" t="s">
        <v>143</v>
      </c>
      <c r="G244" s="5">
        <v>2017</v>
      </c>
      <c r="H244" s="5" t="str">
        <f>CONCATENATE("74240663489")</f>
        <v>74240663489</v>
      </c>
      <c r="I244" s="5" t="s">
        <v>29</v>
      </c>
      <c r="J244" s="5" t="s">
        <v>30</v>
      </c>
      <c r="K244" s="5" t="str">
        <f>CONCATENATE("")</f>
        <v/>
      </c>
      <c r="L244" s="5" t="str">
        <f>CONCATENATE("11 11.2 4b")</f>
        <v>11 11.2 4b</v>
      </c>
      <c r="M244" s="5" t="str">
        <f>CONCATENATE("01892120435")</f>
        <v>01892120435</v>
      </c>
      <c r="N244" s="5" t="s">
        <v>252</v>
      </c>
      <c r="O244" s="5" t="s">
        <v>207</v>
      </c>
      <c r="P244" s="6">
        <v>43987</v>
      </c>
      <c r="Q244" s="5" t="s">
        <v>31</v>
      </c>
      <c r="R244" s="5" t="s">
        <v>32</v>
      </c>
      <c r="S244" s="5" t="s">
        <v>33</v>
      </c>
      <c r="T244" s="5"/>
      <c r="U244" s="7">
        <v>4003.52</v>
      </c>
      <c r="V244" s="7">
        <v>1726.32</v>
      </c>
      <c r="W244" s="7">
        <v>1594.2</v>
      </c>
      <c r="X244" s="5">
        <v>0</v>
      </c>
      <c r="Y244" s="5">
        <v>683</v>
      </c>
    </row>
    <row r="245" spans="1:25" x14ac:dyDescent="0.25">
      <c r="A245" s="5" t="s">
        <v>26</v>
      </c>
      <c r="B245" s="5" t="s">
        <v>38</v>
      </c>
      <c r="C245" s="5" t="s">
        <v>49</v>
      </c>
      <c r="D245" s="5" t="s">
        <v>87</v>
      </c>
      <c r="E245" s="5" t="s">
        <v>39</v>
      </c>
      <c r="F245" s="5" t="s">
        <v>321</v>
      </c>
      <c r="G245" s="5">
        <v>2019</v>
      </c>
      <c r="H245" s="5" t="str">
        <f>CONCATENATE("94240671563")</f>
        <v>94240671563</v>
      </c>
      <c r="I245" s="5" t="s">
        <v>29</v>
      </c>
      <c r="J245" s="5" t="s">
        <v>30</v>
      </c>
      <c r="K245" s="5" t="str">
        <f>CONCATENATE("")</f>
        <v/>
      </c>
      <c r="L245" s="5" t="str">
        <f>CONCATENATE("11 11.1 4b")</f>
        <v>11 11.1 4b</v>
      </c>
      <c r="M245" s="5" t="str">
        <f>CONCATENATE("FSLLCN57C14H211I")</f>
        <v>FSLLCN57C14H211I</v>
      </c>
      <c r="N245" s="5" t="s">
        <v>322</v>
      </c>
      <c r="O245" s="5" t="s">
        <v>207</v>
      </c>
      <c r="P245" s="6">
        <v>43987</v>
      </c>
      <c r="Q245" s="5" t="s">
        <v>31</v>
      </c>
      <c r="R245" s="5" t="s">
        <v>32</v>
      </c>
      <c r="S245" s="5" t="s">
        <v>33</v>
      </c>
      <c r="T245" s="5"/>
      <c r="U245" s="7">
        <v>5928.51</v>
      </c>
      <c r="V245" s="7">
        <v>2556.37</v>
      </c>
      <c r="W245" s="7">
        <v>2360.73</v>
      </c>
      <c r="X245" s="5">
        <v>0</v>
      </c>
      <c r="Y245" s="7">
        <v>1011.41</v>
      </c>
    </row>
    <row r="246" spans="1:25" ht="24.75" x14ac:dyDescent="0.25">
      <c r="A246" s="5" t="s">
        <v>26</v>
      </c>
      <c r="B246" s="5" t="s">
        <v>38</v>
      </c>
      <c r="C246" s="5" t="s">
        <v>49</v>
      </c>
      <c r="D246" s="5" t="s">
        <v>50</v>
      </c>
      <c r="E246" s="5" t="s">
        <v>42</v>
      </c>
      <c r="F246" s="5" t="s">
        <v>191</v>
      </c>
      <c r="G246" s="5">
        <v>2019</v>
      </c>
      <c r="H246" s="5" t="str">
        <f>CONCATENATE("94240413248")</f>
        <v>94240413248</v>
      </c>
      <c r="I246" s="5" t="s">
        <v>29</v>
      </c>
      <c r="J246" s="5" t="s">
        <v>30</v>
      </c>
      <c r="K246" s="5" t="str">
        <f>CONCATENATE("")</f>
        <v/>
      </c>
      <c r="L246" s="5" t="str">
        <f>CONCATENATE("11 11.2 4b")</f>
        <v>11 11.2 4b</v>
      </c>
      <c r="M246" s="5" t="str">
        <f>CONCATENATE("CRBSTN62S44H321V")</f>
        <v>CRBSTN62S44H321V</v>
      </c>
      <c r="N246" s="5" t="s">
        <v>323</v>
      </c>
      <c r="O246" s="5" t="s">
        <v>207</v>
      </c>
      <c r="P246" s="6">
        <v>43987</v>
      </c>
      <c r="Q246" s="5" t="s">
        <v>31</v>
      </c>
      <c r="R246" s="5" t="s">
        <v>32</v>
      </c>
      <c r="S246" s="5" t="s">
        <v>33</v>
      </c>
      <c r="T246" s="5"/>
      <c r="U246" s="5">
        <v>315.18</v>
      </c>
      <c r="V246" s="5">
        <v>135.91</v>
      </c>
      <c r="W246" s="5">
        <v>125.5</v>
      </c>
      <c r="X246" s="5">
        <v>0</v>
      </c>
      <c r="Y246" s="5">
        <v>53.77</v>
      </c>
    </row>
    <row r="247" spans="1:25" x14ac:dyDescent="0.25">
      <c r="A247" s="5" t="s">
        <v>26</v>
      </c>
      <c r="B247" s="5" t="s">
        <v>38</v>
      </c>
      <c r="C247" s="5" t="s">
        <v>49</v>
      </c>
      <c r="D247" s="5" t="s">
        <v>87</v>
      </c>
      <c r="E247" s="5" t="s">
        <v>39</v>
      </c>
      <c r="F247" s="5" t="s">
        <v>143</v>
      </c>
      <c r="G247" s="5">
        <v>2019</v>
      </c>
      <c r="H247" s="5" t="str">
        <f>CONCATENATE("94240943848")</f>
        <v>94240943848</v>
      </c>
      <c r="I247" s="5" t="s">
        <v>29</v>
      </c>
      <c r="J247" s="5" t="s">
        <v>30</v>
      </c>
      <c r="K247" s="5" t="str">
        <f>CONCATENATE("")</f>
        <v/>
      </c>
      <c r="L247" s="5" t="str">
        <f>CONCATENATE("11 11.2 4b")</f>
        <v>11 11.2 4b</v>
      </c>
      <c r="M247" s="5" t="str">
        <f>CONCATENATE("PRFRNT63P28E783L")</f>
        <v>PRFRNT63P28E783L</v>
      </c>
      <c r="N247" s="5" t="s">
        <v>324</v>
      </c>
      <c r="O247" s="5" t="s">
        <v>207</v>
      </c>
      <c r="P247" s="6">
        <v>43987</v>
      </c>
      <c r="Q247" s="5" t="s">
        <v>31</v>
      </c>
      <c r="R247" s="5" t="s">
        <v>32</v>
      </c>
      <c r="S247" s="5" t="s">
        <v>33</v>
      </c>
      <c r="T247" s="5"/>
      <c r="U247" s="7">
        <v>6430.18</v>
      </c>
      <c r="V247" s="7">
        <v>2772.69</v>
      </c>
      <c r="W247" s="7">
        <v>2560.5</v>
      </c>
      <c r="X247" s="5">
        <v>0</v>
      </c>
      <c r="Y247" s="7">
        <v>1096.99</v>
      </c>
    </row>
    <row r="248" spans="1:25" ht="24.75" x14ac:dyDescent="0.25">
      <c r="A248" s="5" t="s">
        <v>26</v>
      </c>
      <c r="B248" s="5" t="s">
        <v>38</v>
      </c>
      <c r="C248" s="5" t="s">
        <v>49</v>
      </c>
      <c r="D248" s="5" t="s">
        <v>50</v>
      </c>
      <c r="E248" s="5" t="s">
        <v>34</v>
      </c>
      <c r="F248" s="5" t="s">
        <v>245</v>
      </c>
      <c r="G248" s="5">
        <v>2019</v>
      </c>
      <c r="H248" s="5" t="str">
        <f>CONCATENATE("94240035082")</f>
        <v>94240035082</v>
      </c>
      <c r="I248" s="5" t="s">
        <v>29</v>
      </c>
      <c r="J248" s="5" t="s">
        <v>30</v>
      </c>
      <c r="K248" s="5" t="str">
        <f>CONCATENATE("")</f>
        <v/>
      </c>
      <c r="L248" s="5" t="str">
        <f>CONCATENATE("11 11.2 4b")</f>
        <v>11 11.2 4b</v>
      </c>
      <c r="M248" s="5" t="str">
        <f>CONCATENATE("VLLGLN65L44G005B")</f>
        <v>VLLGLN65L44G005B</v>
      </c>
      <c r="N248" s="5" t="s">
        <v>325</v>
      </c>
      <c r="O248" s="5" t="s">
        <v>207</v>
      </c>
      <c r="P248" s="6">
        <v>43987</v>
      </c>
      <c r="Q248" s="5" t="s">
        <v>31</v>
      </c>
      <c r="R248" s="5" t="s">
        <v>32</v>
      </c>
      <c r="S248" s="5" t="s">
        <v>33</v>
      </c>
      <c r="T248" s="5"/>
      <c r="U248" s="5">
        <v>718.85</v>
      </c>
      <c r="V248" s="5">
        <v>309.97000000000003</v>
      </c>
      <c r="W248" s="5">
        <v>286.25</v>
      </c>
      <c r="X248" s="5">
        <v>0</v>
      </c>
      <c r="Y248" s="5">
        <v>122.63</v>
      </c>
    </row>
    <row r="249" spans="1:25" ht="24.75" x14ac:dyDescent="0.25">
      <c r="A249" s="5" t="s">
        <v>26</v>
      </c>
      <c r="B249" s="5" t="s">
        <v>38</v>
      </c>
      <c r="C249" s="5" t="s">
        <v>49</v>
      </c>
      <c r="D249" s="5" t="s">
        <v>58</v>
      </c>
      <c r="E249" s="5" t="s">
        <v>34</v>
      </c>
      <c r="F249" s="5" t="s">
        <v>216</v>
      </c>
      <c r="G249" s="5">
        <v>2019</v>
      </c>
      <c r="H249" s="5" t="str">
        <f>CONCATENATE("94241189532")</f>
        <v>94241189532</v>
      </c>
      <c r="I249" s="5" t="s">
        <v>29</v>
      </c>
      <c r="J249" s="5" t="s">
        <v>30</v>
      </c>
      <c r="K249" s="5" t="str">
        <f>CONCATENATE("")</f>
        <v/>
      </c>
      <c r="L249" s="5" t="str">
        <f>CONCATENATE("11 11.2 4b")</f>
        <v>11 11.2 4b</v>
      </c>
      <c r="M249" s="5" t="str">
        <f>CONCATENATE("BRRGCR61R30Z130G")</f>
        <v>BRRGCR61R30Z130G</v>
      </c>
      <c r="N249" s="5" t="s">
        <v>326</v>
      </c>
      <c r="O249" s="5" t="s">
        <v>207</v>
      </c>
      <c r="P249" s="6">
        <v>43987</v>
      </c>
      <c r="Q249" s="5" t="s">
        <v>31</v>
      </c>
      <c r="R249" s="5" t="s">
        <v>32</v>
      </c>
      <c r="S249" s="5" t="s">
        <v>33</v>
      </c>
      <c r="T249" s="5"/>
      <c r="U249" s="5">
        <v>941.16</v>
      </c>
      <c r="V249" s="5">
        <v>405.83</v>
      </c>
      <c r="W249" s="5">
        <v>374.77</v>
      </c>
      <c r="X249" s="5">
        <v>0</v>
      </c>
      <c r="Y249" s="5">
        <v>160.56</v>
      </c>
    </row>
    <row r="250" spans="1:25" ht="24.75" x14ac:dyDescent="0.25">
      <c r="A250" s="5" t="s">
        <v>26</v>
      </c>
      <c r="B250" s="5" t="s">
        <v>38</v>
      </c>
      <c r="C250" s="5" t="s">
        <v>49</v>
      </c>
      <c r="D250" s="5" t="s">
        <v>50</v>
      </c>
      <c r="E250" s="5" t="s">
        <v>43</v>
      </c>
      <c r="F250" s="5" t="s">
        <v>166</v>
      </c>
      <c r="G250" s="5">
        <v>2019</v>
      </c>
      <c r="H250" s="5" t="str">
        <f>CONCATENATE("94240832694")</f>
        <v>94240832694</v>
      </c>
      <c r="I250" s="5" t="s">
        <v>41</v>
      </c>
      <c r="J250" s="5" t="s">
        <v>30</v>
      </c>
      <c r="K250" s="5" t="str">
        <f>CONCATENATE("")</f>
        <v/>
      </c>
      <c r="L250" s="5" t="str">
        <f>CONCATENATE("11 11.2 4b")</f>
        <v>11 11.2 4b</v>
      </c>
      <c r="M250" s="5" t="str">
        <f>CONCATENATE("VLLMLG59S46C321H")</f>
        <v>VLLMLG59S46C321H</v>
      </c>
      <c r="N250" s="5" t="s">
        <v>327</v>
      </c>
      <c r="O250" s="5" t="s">
        <v>207</v>
      </c>
      <c r="P250" s="6">
        <v>43987</v>
      </c>
      <c r="Q250" s="5" t="s">
        <v>31</v>
      </c>
      <c r="R250" s="5" t="s">
        <v>32</v>
      </c>
      <c r="S250" s="5" t="s">
        <v>33</v>
      </c>
      <c r="T250" s="5"/>
      <c r="U250" s="7">
        <v>1110.99</v>
      </c>
      <c r="V250" s="5">
        <v>479.06</v>
      </c>
      <c r="W250" s="5">
        <v>442.4</v>
      </c>
      <c r="X250" s="5">
        <v>0</v>
      </c>
      <c r="Y250" s="5">
        <v>189.53</v>
      </c>
    </row>
    <row r="251" spans="1:25" x14ac:dyDescent="0.25">
      <c r="A251" s="5" t="s">
        <v>26</v>
      </c>
      <c r="B251" s="5" t="s">
        <v>38</v>
      </c>
      <c r="C251" s="5" t="s">
        <v>49</v>
      </c>
      <c r="D251" s="5" t="s">
        <v>87</v>
      </c>
      <c r="E251" s="5" t="s">
        <v>39</v>
      </c>
      <c r="F251" s="5" t="s">
        <v>102</v>
      </c>
      <c r="G251" s="5">
        <v>2018</v>
      </c>
      <c r="H251" s="5" t="str">
        <f>CONCATENATE("84240740765")</f>
        <v>84240740765</v>
      </c>
      <c r="I251" s="5" t="s">
        <v>29</v>
      </c>
      <c r="J251" s="5" t="s">
        <v>30</v>
      </c>
      <c r="K251" s="5" t="str">
        <f>CONCATENATE("")</f>
        <v/>
      </c>
      <c r="L251" s="5" t="str">
        <f>CONCATENATE("11 11.2 4b")</f>
        <v>11 11.2 4b</v>
      </c>
      <c r="M251" s="5" t="str">
        <f>CONCATENATE("MRNFNC81T03B041Z")</f>
        <v>MRNFNC81T03B041Z</v>
      </c>
      <c r="N251" s="5" t="s">
        <v>304</v>
      </c>
      <c r="O251" s="5" t="s">
        <v>207</v>
      </c>
      <c r="P251" s="6">
        <v>43987</v>
      </c>
      <c r="Q251" s="5" t="s">
        <v>31</v>
      </c>
      <c r="R251" s="5" t="s">
        <v>32</v>
      </c>
      <c r="S251" s="5" t="s">
        <v>33</v>
      </c>
      <c r="T251" s="5"/>
      <c r="U251" s="5">
        <v>921.12</v>
      </c>
      <c r="V251" s="5">
        <v>397.19</v>
      </c>
      <c r="W251" s="5">
        <v>366.79</v>
      </c>
      <c r="X251" s="5">
        <v>0</v>
      </c>
      <c r="Y251" s="5">
        <v>157.13999999999999</v>
      </c>
    </row>
    <row r="252" spans="1:25" ht="24.75" x14ac:dyDescent="0.25">
      <c r="A252" s="5" t="s">
        <v>26</v>
      </c>
      <c r="B252" s="5" t="s">
        <v>38</v>
      </c>
      <c r="C252" s="5" t="s">
        <v>49</v>
      </c>
      <c r="D252" s="5" t="s">
        <v>54</v>
      </c>
      <c r="E252" s="5" t="s">
        <v>34</v>
      </c>
      <c r="F252" s="5" t="s">
        <v>328</v>
      </c>
      <c r="G252" s="5">
        <v>2019</v>
      </c>
      <c r="H252" s="5" t="str">
        <f>CONCATENATE("94240449267")</f>
        <v>94240449267</v>
      </c>
      <c r="I252" s="5" t="s">
        <v>29</v>
      </c>
      <c r="J252" s="5" t="s">
        <v>30</v>
      </c>
      <c r="K252" s="5" t="str">
        <f>CONCATENATE("")</f>
        <v/>
      </c>
      <c r="L252" s="5" t="str">
        <f>CONCATENATE("10 10.1 4a")</f>
        <v>10 10.1 4a</v>
      </c>
      <c r="M252" s="5" t="str">
        <f>CONCATENATE("00487350423")</f>
        <v>00487350423</v>
      </c>
      <c r="N252" s="5" t="s">
        <v>329</v>
      </c>
      <c r="O252" s="5" t="s">
        <v>330</v>
      </c>
      <c r="P252" s="6">
        <v>43987</v>
      </c>
      <c r="Q252" s="5" t="s">
        <v>31</v>
      </c>
      <c r="R252" s="5" t="s">
        <v>32</v>
      </c>
      <c r="S252" s="5" t="s">
        <v>33</v>
      </c>
      <c r="T252" s="5"/>
      <c r="U252" s="5">
        <v>341.2</v>
      </c>
      <c r="V252" s="5">
        <v>147.13</v>
      </c>
      <c r="W252" s="5">
        <v>135.87</v>
      </c>
      <c r="X252" s="5">
        <v>0</v>
      </c>
      <c r="Y252" s="5">
        <v>58.2</v>
      </c>
    </row>
    <row r="253" spans="1:25" ht="24.75" x14ac:dyDescent="0.25">
      <c r="A253" s="5" t="s">
        <v>26</v>
      </c>
      <c r="B253" s="5" t="s">
        <v>38</v>
      </c>
      <c r="C253" s="5" t="s">
        <v>49</v>
      </c>
      <c r="D253" s="5" t="s">
        <v>54</v>
      </c>
      <c r="E253" s="5" t="s">
        <v>34</v>
      </c>
      <c r="F253" s="5" t="s">
        <v>203</v>
      </c>
      <c r="G253" s="5">
        <v>2019</v>
      </c>
      <c r="H253" s="5" t="str">
        <f>CONCATENATE("94240434525")</f>
        <v>94240434525</v>
      </c>
      <c r="I253" s="5" t="s">
        <v>29</v>
      </c>
      <c r="J253" s="5" t="s">
        <v>30</v>
      </c>
      <c r="K253" s="5" t="str">
        <f>CONCATENATE("")</f>
        <v/>
      </c>
      <c r="L253" s="5" t="str">
        <f>CONCATENATE("10 10.1 4a")</f>
        <v>10 10.1 4a</v>
      </c>
      <c r="M253" s="5" t="str">
        <f>CONCATENATE("02427770421")</f>
        <v>02427770421</v>
      </c>
      <c r="N253" s="5" t="s">
        <v>331</v>
      </c>
      <c r="O253" s="5" t="s">
        <v>330</v>
      </c>
      <c r="P253" s="6">
        <v>43987</v>
      </c>
      <c r="Q253" s="5" t="s">
        <v>31</v>
      </c>
      <c r="R253" s="5" t="s">
        <v>32</v>
      </c>
      <c r="S253" s="5" t="s">
        <v>33</v>
      </c>
      <c r="T253" s="5"/>
      <c r="U253" s="5">
        <v>935.25</v>
      </c>
      <c r="V253" s="5">
        <v>403.28</v>
      </c>
      <c r="W253" s="5">
        <v>372.42</v>
      </c>
      <c r="X253" s="5">
        <v>0</v>
      </c>
      <c r="Y253" s="5">
        <v>159.55000000000001</v>
      </c>
    </row>
    <row r="254" spans="1:25" ht="24.75" x14ac:dyDescent="0.25">
      <c r="A254" s="5" t="s">
        <v>26</v>
      </c>
      <c r="B254" s="5" t="s">
        <v>38</v>
      </c>
      <c r="C254" s="5" t="s">
        <v>49</v>
      </c>
      <c r="D254" s="5" t="s">
        <v>54</v>
      </c>
      <c r="E254" s="5" t="s">
        <v>45</v>
      </c>
      <c r="F254" s="5" t="s">
        <v>125</v>
      </c>
      <c r="G254" s="5">
        <v>2019</v>
      </c>
      <c r="H254" s="5" t="str">
        <f>CONCATENATE("94240585565")</f>
        <v>94240585565</v>
      </c>
      <c r="I254" s="5" t="s">
        <v>29</v>
      </c>
      <c r="J254" s="5" t="s">
        <v>30</v>
      </c>
      <c r="K254" s="5" t="str">
        <f>CONCATENATE("")</f>
        <v/>
      </c>
      <c r="L254" s="5" t="str">
        <f>CONCATENATE("10 10.1 4a")</f>
        <v>10 10.1 4a</v>
      </c>
      <c r="M254" s="5" t="str">
        <f>CONCATENATE("BTTGNN64H16F205R")</f>
        <v>BTTGNN64H16F205R</v>
      </c>
      <c r="N254" s="5" t="s">
        <v>332</v>
      </c>
      <c r="O254" s="5" t="s">
        <v>330</v>
      </c>
      <c r="P254" s="6">
        <v>43987</v>
      </c>
      <c r="Q254" s="5" t="s">
        <v>31</v>
      </c>
      <c r="R254" s="5" t="s">
        <v>32</v>
      </c>
      <c r="S254" s="5" t="s">
        <v>33</v>
      </c>
      <c r="T254" s="5"/>
      <c r="U254" s="7">
        <v>2617.6799999999998</v>
      </c>
      <c r="V254" s="7">
        <v>1128.74</v>
      </c>
      <c r="W254" s="7">
        <v>1042.3599999999999</v>
      </c>
      <c r="X254" s="5">
        <v>0</v>
      </c>
      <c r="Y254" s="5">
        <v>446.58</v>
      </c>
    </row>
    <row r="255" spans="1:25" ht="24.75" x14ac:dyDescent="0.25">
      <c r="A255" s="5" t="s">
        <v>26</v>
      </c>
      <c r="B255" s="5" t="s">
        <v>38</v>
      </c>
      <c r="C255" s="5" t="s">
        <v>49</v>
      </c>
      <c r="D255" s="5" t="s">
        <v>54</v>
      </c>
      <c r="E255" s="5" t="s">
        <v>34</v>
      </c>
      <c r="F255" s="5" t="s">
        <v>203</v>
      </c>
      <c r="G255" s="5">
        <v>2019</v>
      </c>
      <c r="H255" s="5" t="str">
        <f>CONCATENATE("94240811664")</f>
        <v>94240811664</v>
      </c>
      <c r="I255" s="5" t="s">
        <v>29</v>
      </c>
      <c r="J255" s="5" t="s">
        <v>30</v>
      </c>
      <c r="K255" s="5" t="str">
        <f>CONCATENATE("")</f>
        <v/>
      </c>
      <c r="L255" s="5" t="str">
        <f>CONCATENATE("10 10.1 4a")</f>
        <v>10 10.1 4a</v>
      </c>
      <c r="M255" s="5" t="str">
        <f>CONCATENATE("BNCMCL71S28H501N")</f>
        <v>BNCMCL71S28H501N</v>
      </c>
      <c r="N255" s="5" t="s">
        <v>333</v>
      </c>
      <c r="O255" s="5" t="s">
        <v>330</v>
      </c>
      <c r="P255" s="6">
        <v>43987</v>
      </c>
      <c r="Q255" s="5" t="s">
        <v>31</v>
      </c>
      <c r="R255" s="5" t="s">
        <v>32</v>
      </c>
      <c r="S255" s="5" t="s">
        <v>33</v>
      </c>
      <c r="T255" s="5"/>
      <c r="U255" s="7">
        <v>1601.56</v>
      </c>
      <c r="V255" s="5">
        <v>690.59</v>
      </c>
      <c r="W255" s="5">
        <v>637.74</v>
      </c>
      <c r="X255" s="5">
        <v>0</v>
      </c>
      <c r="Y255" s="5">
        <v>273.23</v>
      </c>
    </row>
    <row r="256" spans="1:25" ht="24.75" x14ac:dyDescent="0.25">
      <c r="A256" s="5" t="s">
        <v>26</v>
      </c>
      <c r="B256" s="5" t="s">
        <v>38</v>
      </c>
      <c r="C256" s="5" t="s">
        <v>49</v>
      </c>
      <c r="D256" s="5" t="s">
        <v>54</v>
      </c>
      <c r="E256" s="5" t="s">
        <v>34</v>
      </c>
      <c r="F256" s="5" t="s">
        <v>328</v>
      </c>
      <c r="G256" s="5">
        <v>2019</v>
      </c>
      <c r="H256" s="5" t="str">
        <f>CONCATENATE("94240413396")</f>
        <v>94240413396</v>
      </c>
      <c r="I256" s="5" t="s">
        <v>29</v>
      </c>
      <c r="J256" s="5" t="s">
        <v>30</v>
      </c>
      <c r="K256" s="5" t="str">
        <f>CONCATENATE("")</f>
        <v/>
      </c>
      <c r="L256" s="5" t="str">
        <f>CONCATENATE("10 10.1 4a")</f>
        <v>10 10.1 4a</v>
      </c>
      <c r="M256" s="5" t="str">
        <f>CONCATENATE("CLDNLS83C09I608S")</f>
        <v>CLDNLS83C09I608S</v>
      </c>
      <c r="N256" s="5" t="s">
        <v>334</v>
      </c>
      <c r="O256" s="5" t="s">
        <v>330</v>
      </c>
      <c r="P256" s="6">
        <v>43987</v>
      </c>
      <c r="Q256" s="5" t="s">
        <v>31</v>
      </c>
      <c r="R256" s="5" t="s">
        <v>32</v>
      </c>
      <c r="S256" s="5" t="s">
        <v>33</v>
      </c>
      <c r="T256" s="5"/>
      <c r="U256" s="5">
        <v>166.48</v>
      </c>
      <c r="V256" s="5">
        <v>71.790000000000006</v>
      </c>
      <c r="W256" s="5">
        <v>66.290000000000006</v>
      </c>
      <c r="X256" s="5">
        <v>0</v>
      </c>
      <c r="Y256" s="5">
        <v>28.4</v>
      </c>
    </row>
    <row r="257" spans="1:25" ht="24.75" x14ac:dyDescent="0.25">
      <c r="A257" s="5" t="s">
        <v>26</v>
      </c>
      <c r="B257" s="5" t="s">
        <v>38</v>
      </c>
      <c r="C257" s="5" t="s">
        <v>49</v>
      </c>
      <c r="D257" s="5" t="s">
        <v>54</v>
      </c>
      <c r="E257" s="5" t="s">
        <v>34</v>
      </c>
      <c r="F257" s="5" t="s">
        <v>203</v>
      </c>
      <c r="G257" s="5">
        <v>2018</v>
      </c>
      <c r="H257" s="5" t="str">
        <f>CONCATENATE("84240985451")</f>
        <v>84240985451</v>
      </c>
      <c r="I257" s="5" t="s">
        <v>29</v>
      </c>
      <c r="J257" s="5" t="s">
        <v>30</v>
      </c>
      <c r="K257" s="5" t="str">
        <f>CONCATENATE("")</f>
        <v/>
      </c>
      <c r="L257" s="5" t="str">
        <f>CONCATENATE("10 10.1 4a")</f>
        <v>10 10.1 4a</v>
      </c>
      <c r="M257" s="5" t="str">
        <f>CONCATENATE("CNDCRL63E17F634T")</f>
        <v>CNDCRL63E17F634T</v>
      </c>
      <c r="N257" s="5" t="s">
        <v>335</v>
      </c>
      <c r="O257" s="5" t="s">
        <v>330</v>
      </c>
      <c r="P257" s="6">
        <v>43987</v>
      </c>
      <c r="Q257" s="5" t="s">
        <v>31</v>
      </c>
      <c r="R257" s="5" t="s">
        <v>32</v>
      </c>
      <c r="S257" s="5" t="s">
        <v>33</v>
      </c>
      <c r="T257" s="5"/>
      <c r="U257" s="5">
        <v>338.54</v>
      </c>
      <c r="V257" s="5">
        <v>145.97999999999999</v>
      </c>
      <c r="W257" s="5">
        <v>134.81</v>
      </c>
      <c r="X257" s="5">
        <v>0</v>
      </c>
      <c r="Y257" s="5">
        <v>57.75</v>
      </c>
    </row>
    <row r="258" spans="1:25" ht="24.75" x14ac:dyDescent="0.25">
      <c r="A258" s="5" t="s">
        <v>26</v>
      </c>
      <c r="B258" s="5" t="s">
        <v>38</v>
      </c>
      <c r="C258" s="5" t="s">
        <v>49</v>
      </c>
      <c r="D258" s="5" t="s">
        <v>54</v>
      </c>
      <c r="E258" s="5" t="s">
        <v>34</v>
      </c>
      <c r="F258" s="5" t="s">
        <v>203</v>
      </c>
      <c r="G258" s="5">
        <v>2018</v>
      </c>
      <c r="H258" s="5" t="str">
        <f>CONCATENATE("84240987119")</f>
        <v>84240987119</v>
      </c>
      <c r="I258" s="5" t="s">
        <v>29</v>
      </c>
      <c r="J258" s="5" t="s">
        <v>30</v>
      </c>
      <c r="K258" s="5" t="str">
        <f>CONCATENATE("")</f>
        <v/>
      </c>
      <c r="L258" s="5" t="str">
        <f>CONCATENATE("10 10.1 4a")</f>
        <v>10 10.1 4a</v>
      </c>
      <c r="M258" s="5" t="str">
        <f>CONCATENATE("CNSLCU59M31H501Z")</f>
        <v>CNSLCU59M31H501Z</v>
      </c>
      <c r="N258" s="5" t="s">
        <v>336</v>
      </c>
      <c r="O258" s="5" t="s">
        <v>330</v>
      </c>
      <c r="P258" s="6">
        <v>43987</v>
      </c>
      <c r="Q258" s="5" t="s">
        <v>31</v>
      </c>
      <c r="R258" s="5" t="s">
        <v>32</v>
      </c>
      <c r="S258" s="5" t="s">
        <v>33</v>
      </c>
      <c r="T258" s="5"/>
      <c r="U258" s="5">
        <v>231.55</v>
      </c>
      <c r="V258" s="5">
        <v>99.84</v>
      </c>
      <c r="W258" s="5">
        <v>92.2</v>
      </c>
      <c r="X258" s="5">
        <v>0</v>
      </c>
      <c r="Y258" s="5">
        <v>39.51</v>
      </c>
    </row>
    <row r="259" spans="1:25" ht="24.75" x14ac:dyDescent="0.25">
      <c r="A259" s="5" t="s">
        <v>26</v>
      </c>
      <c r="B259" s="5" t="s">
        <v>38</v>
      </c>
      <c r="C259" s="5" t="s">
        <v>49</v>
      </c>
      <c r="D259" s="5" t="s">
        <v>54</v>
      </c>
      <c r="E259" s="5" t="s">
        <v>34</v>
      </c>
      <c r="F259" s="5" t="s">
        <v>203</v>
      </c>
      <c r="G259" s="5">
        <v>2019</v>
      </c>
      <c r="H259" s="5" t="str">
        <f>CONCATENATE("94240108814")</f>
        <v>94240108814</v>
      </c>
      <c r="I259" s="5" t="s">
        <v>29</v>
      </c>
      <c r="J259" s="5" t="s">
        <v>30</v>
      </c>
      <c r="K259" s="5" t="str">
        <f>CONCATENATE("")</f>
        <v/>
      </c>
      <c r="L259" s="5" t="str">
        <f>CONCATENATE("10 10.1 4a")</f>
        <v>10 10.1 4a</v>
      </c>
      <c r="M259" s="5" t="str">
        <f>CONCATENATE("CNSLCU59M31H501Z")</f>
        <v>CNSLCU59M31H501Z</v>
      </c>
      <c r="N259" s="5" t="s">
        <v>336</v>
      </c>
      <c r="O259" s="5" t="s">
        <v>330</v>
      </c>
      <c r="P259" s="6">
        <v>43987</v>
      </c>
      <c r="Q259" s="5" t="s">
        <v>31</v>
      </c>
      <c r="R259" s="5" t="s">
        <v>32</v>
      </c>
      <c r="S259" s="5" t="s">
        <v>33</v>
      </c>
      <c r="T259" s="5"/>
      <c r="U259" s="5">
        <v>257.27999999999997</v>
      </c>
      <c r="V259" s="5">
        <v>110.94</v>
      </c>
      <c r="W259" s="5">
        <v>102.45</v>
      </c>
      <c r="X259" s="5">
        <v>0</v>
      </c>
      <c r="Y259" s="5">
        <v>43.89</v>
      </c>
    </row>
    <row r="260" spans="1:25" ht="24.75" x14ac:dyDescent="0.25">
      <c r="A260" s="5" t="s">
        <v>26</v>
      </c>
      <c r="B260" s="5" t="s">
        <v>38</v>
      </c>
      <c r="C260" s="5" t="s">
        <v>49</v>
      </c>
      <c r="D260" s="5" t="s">
        <v>54</v>
      </c>
      <c r="E260" s="5" t="s">
        <v>34</v>
      </c>
      <c r="F260" s="5" t="s">
        <v>328</v>
      </c>
      <c r="G260" s="5">
        <v>2019</v>
      </c>
      <c r="H260" s="5" t="str">
        <f>CONCATENATE("94240410301")</f>
        <v>94240410301</v>
      </c>
      <c r="I260" s="5" t="s">
        <v>29</v>
      </c>
      <c r="J260" s="5" t="s">
        <v>30</v>
      </c>
      <c r="K260" s="5" t="str">
        <f>CONCATENATE("")</f>
        <v/>
      </c>
      <c r="L260" s="5" t="str">
        <f>CONCATENATE("10 10.1 4a")</f>
        <v>10 10.1 4a</v>
      </c>
      <c r="M260" s="5" t="str">
        <f>CONCATENATE("CRBPRZ61M70G771M")</f>
        <v>CRBPRZ61M70G771M</v>
      </c>
      <c r="N260" s="5" t="s">
        <v>337</v>
      </c>
      <c r="O260" s="5" t="s">
        <v>330</v>
      </c>
      <c r="P260" s="6">
        <v>43987</v>
      </c>
      <c r="Q260" s="5" t="s">
        <v>31</v>
      </c>
      <c r="R260" s="5" t="s">
        <v>32</v>
      </c>
      <c r="S260" s="5" t="s">
        <v>33</v>
      </c>
      <c r="T260" s="5"/>
      <c r="U260" s="5">
        <v>354</v>
      </c>
      <c r="V260" s="5">
        <v>152.63999999999999</v>
      </c>
      <c r="W260" s="5">
        <v>140.96</v>
      </c>
      <c r="X260" s="5">
        <v>0</v>
      </c>
      <c r="Y260" s="5">
        <v>60.4</v>
      </c>
    </row>
    <row r="261" spans="1:25" ht="24.75" x14ac:dyDescent="0.25">
      <c r="A261" s="5" t="s">
        <v>26</v>
      </c>
      <c r="B261" s="5" t="s">
        <v>38</v>
      </c>
      <c r="C261" s="5" t="s">
        <v>49</v>
      </c>
      <c r="D261" s="5" t="s">
        <v>54</v>
      </c>
      <c r="E261" s="5" t="s">
        <v>34</v>
      </c>
      <c r="F261" s="5" t="s">
        <v>55</v>
      </c>
      <c r="G261" s="5">
        <v>2018</v>
      </c>
      <c r="H261" s="5" t="str">
        <f>CONCATENATE("84240855928")</f>
        <v>84240855928</v>
      </c>
      <c r="I261" s="5" t="s">
        <v>29</v>
      </c>
      <c r="J261" s="5" t="s">
        <v>30</v>
      </c>
      <c r="K261" s="5" t="str">
        <f>CONCATENATE("")</f>
        <v/>
      </c>
      <c r="L261" s="5" t="str">
        <f>CONCATENATE("10 10.1 4a")</f>
        <v>10 10.1 4a</v>
      </c>
      <c r="M261" s="5" t="str">
        <f>CONCATENATE("CRCLSN87E42I608T")</f>
        <v>CRCLSN87E42I608T</v>
      </c>
      <c r="N261" s="5" t="s">
        <v>338</v>
      </c>
      <c r="O261" s="5" t="s">
        <v>330</v>
      </c>
      <c r="P261" s="6">
        <v>43987</v>
      </c>
      <c r="Q261" s="5" t="s">
        <v>31</v>
      </c>
      <c r="R261" s="5" t="s">
        <v>32</v>
      </c>
      <c r="S261" s="5" t="s">
        <v>33</v>
      </c>
      <c r="T261" s="5"/>
      <c r="U261" s="5">
        <v>584.55999999999995</v>
      </c>
      <c r="V261" s="5">
        <v>252.06</v>
      </c>
      <c r="W261" s="5">
        <v>232.77</v>
      </c>
      <c r="X261" s="5">
        <v>0</v>
      </c>
      <c r="Y261" s="5">
        <v>99.73</v>
      </c>
    </row>
    <row r="262" spans="1:25" ht="24.75" x14ac:dyDescent="0.25">
      <c r="A262" s="5" t="s">
        <v>26</v>
      </c>
      <c r="B262" s="5" t="s">
        <v>38</v>
      </c>
      <c r="C262" s="5" t="s">
        <v>49</v>
      </c>
      <c r="D262" s="5" t="s">
        <v>54</v>
      </c>
      <c r="E262" s="5" t="s">
        <v>34</v>
      </c>
      <c r="F262" s="5" t="s">
        <v>55</v>
      </c>
      <c r="G262" s="5">
        <v>2019</v>
      </c>
      <c r="H262" s="5" t="str">
        <f>CONCATENATE("94240998438")</f>
        <v>94240998438</v>
      </c>
      <c r="I262" s="5" t="s">
        <v>29</v>
      </c>
      <c r="J262" s="5" t="s">
        <v>30</v>
      </c>
      <c r="K262" s="5" t="str">
        <f>CONCATENATE("")</f>
        <v/>
      </c>
      <c r="L262" s="5" t="str">
        <f>CONCATENATE("10 10.1 4a")</f>
        <v>10 10.1 4a</v>
      </c>
      <c r="M262" s="5" t="str">
        <f>CONCATENATE("CRCLSN87E42I608T")</f>
        <v>CRCLSN87E42I608T</v>
      </c>
      <c r="N262" s="5" t="s">
        <v>338</v>
      </c>
      <c r="O262" s="5" t="s">
        <v>330</v>
      </c>
      <c r="P262" s="6">
        <v>43987</v>
      </c>
      <c r="Q262" s="5" t="s">
        <v>31</v>
      </c>
      <c r="R262" s="5" t="s">
        <v>32</v>
      </c>
      <c r="S262" s="5" t="s">
        <v>33</v>
      </c>
      <c r="T262" s="5"/>
      <c r="U262" s="5">
        <v>584.55999999999995</v>
      </c>
      <c r="V262" s="5">
        <v>252.06</v>
      </c>
      <c r="W262" s="5">
        <v>232.77</v>
      </c>
      <c r="X262" s="5">
        <v>0</v>
      </c>
      <c r="Y262" s="5">
        <v>99.73</v>
      </c>
    </row>
    <row r="263" spans="1:25" ht="24.75" x14ac:dyDescent="0.25">
      <c r="A263" s="5" t="s">
        <v>26</v>
      </c>
      <c r="B263" s="5" t="s">
        <v>38</v>
      </c>
      <c r="C263" s="5" t="s">
        <v>49</v>
      </c>
      <c r="D263" s="5" t="s">
        <v>54</v>
      </c>
      <c r="E263" s="5" t="s">
        <v>34</v>
      </c>
      <c r="F263" s="5" t="s">
        <v>203</v>
      </c>
      <c r="G263" s="5">
        <v>2019</v>
      </c>
      <c r="H263" s="5" t="str">
        <f>CONCATENATE("94240434939")</f>
        <v>94240434939</v>
      </c>
      <c r="I263" s="5" t="s">
        <v>41</v>
      </c>
      <c r="J263" s="5" t="s">
        <v>30</v>
      </c>
      <c r="K263" s="5" t="str">
        <f>CONCATENATE("")</f>
        <v/>
      </c>
      <c r="L263" s="5" t="str">
        <f>CONCATENATE("10 10.1 4a")</f>
        <v>10 10.1 4a</v>
      </c>
      <c r="M263" s="5" t="str">
        <f>CONCATENATE("FCNDNI36S15F560A")</f>
        <v>FCNDNI36S15F560A</v>
      </c>
      <c r="N263" s="5" t="s">
        <v>339</v>
      </c>
      <c r="O263" s="5" t="s">
        <v>330</v>
      </c>
      <c r="P263" s="6">
        <v>43987</v>
      </c>
      <c r="Q263" s="5" t="s">
        <v>31</v>
      </c>
      <c r="R263" s="5" t="s">
        <v>32</v>
      </c>
      <c r="S263" s="5" t="s">
        <v>33</v>
      </c>
      <c r="T263" s="5"/>
      <c r="U263" s="5">
        <v>216</v>
      </c>
      <c r="V263" s="5">
        <v>93.14</v>
      </c>
      <c r="W263" s="5">
        <v>86.01</v>
      </c>
      <c r="X263" s="5">
        <v>0</v>
      </c>
      <c r="Y263" s="5">
        <v>36.85</v>
      </c>
    </row>
    <row r="264" spans="1:25" ht="24.75" x14ac:dyDescent="0.25">
      <c r="A264" s="5" t="s">
        <v>26</v>
      </c>
      <c r="B264" s="5" t="s">
        <v>38</v>
      </c>
      <c r="C264" s="5" t="s">
        <v>49</v>
      </c>
      <c r="D264" s="5" t="s">
        <v>54</v>
      </c>
      <c r="E264" s="5" t="s">
        <v>34</v>
      </c>
      <c r="F264" s="5" t="s">
        <v>203</v>
      </c>
      <c r="G264" s="5">
        <v>2018</v>
      </c>
      <c r="H264" s="5" t="str">
        <f>CONCATENATE("84240173678")</f>
        <v>84240173678</v>
      </c>
      <c r="I264" s="5" t="s">
        <v>29</v>
      </c>
      <c r="J264" s="5" t="s">
        <v>30</v>
      </c>
      <c r="K264" s="5" t="str">
        <f>CONCATENATE("")</f>
        <v/>
      </c>
      <c r="L264" s="5" t="str">
        <f>CONCATENATE("10 10.1 4a")</f>
        <v>10 10.1 4a</v>
      </c>
      <c r="M264" s="5" t="str">
        <f>CONCATENATE("FCNDNI36S15F560A")</f>
        <v>FCNDNI36S15F560A</v>
      </c>
      <c r="N264" s="5" t="s">
        <v>339</v>
      </c>
      <c r="O264" s="5" t="s">
        <v>330</v>
      </c>
      <c r="P264" s="6">
        <v>43987</v>
      </c>
      <c r="Q264" s="5" t="s">
        <v>31</v>
      </c>
      <c r="R264" s="5" t="s">
        <v>32</v>
      </c>
      <c r="S264" s="5" t="s">
        <v>33</v>
      </c>
      <c r="T264" s="5"/>
      <c r="U264" s="5">
        <v>216</v>
      </c>
      <c r="V264" s="5">
        <v>93.14</v>
      </c>
      <c r="W264" s="5">
        <v>86.01</v>
      </c>
      <c r="X264" s="5">
        <v>0</v>
      </c>
      <c r="Y264" s="5">
        <v>36.85</v>
      </c>
    </row>
    <row r="265" spans="1:25" ht="24.75" x14ac:dyDescent="0.25">
      <c r="A265" s="5" t="s">
        <v>26</v>
      </c>
      <c r="B265" s="5" t="s">
        <v>38</v>
      </c>
      <c r="C265" s="5" t="s">
        <v>49</v>
      </c>
      <c r="D265" s="5" t="s">
        <v>50</v>
      </c>
      <c r="E265" s="5" t="s">
        <v>39</v>
      </c>
      <c r="F265" s="5" t="s">
        <v>51</v>
      </c>
      <c r="G265" s="5">
        <v>2018</v>
      </c>
      <c r="H265" s="5" t="str">
        <f>CONCATENATE("84241011026")</f>
        <v>84241011026</v>
      </c>
      <c r="I265" s="5" t="s">
        <v>29</v>
      </c>
      <c r="J265" s="5" t="s">
        <v>30</v>
      </c>
      <c r="K265" s="5" t="str">
        <f>CONCATENATE("")</f>
        <v/>
      </c>
      <c r="L265" s="5" t="str">
        <f>CONCATENATE("10 10.1 4a")</f>
        <v>10 10.1 4a</v>
      </c>
      <c r="M265" s="5" t="str">
        <f>CONCATENATE("GLLSFN78C14A462E")</f>
        <v>GLLSFN78C14A462E</v>
      </c>
      <c r="N265" s="5" t="s">
        <v>340</v>
      </c>
      <c r="O265" s="5" t="s">
        <v>330</v>
      </c>
      <c r="P265" s="6">
        <v>43987</v>
      </c>
      <c r="Q265" s="5" t="s">
        <v>31</v>
      </c>
      <c r="R265" s="5" t="s">
        <v>32</v>
      </c>
      <c r="S265" s="5" t="s">
        <v>33</v>
      </c>
      <c r="T265" s="5"/>
      <c r="U265" s="5">
        <v>686.8</v>
      </c>
      <c r="V265" s="5">
        <v>296.14999999999998</v>
      </c>
      <c r="W265" s="5">
        <v>273.48</v>
      </c>
      <c r="X265" s="5">
        <v>0</v>
      </c>
      <c r="Y265" s="5">
        <v>117.17</v>
      </c>
    </row>
    <row r="266" spans="1:25" ht="24.75" x14ac:dyDescent="0.25">
      <c r="A266" s="5" t="s">
        <v>26</v>
      </c>
      <c r="B266" s="5" t="s">
        <v>38</v>
      </c>
      <c r="C266" s="5" t="s">
        <v>49</v>
      </c>
      <c r="D266" s="5" t="s">
        <v>54</v>
      </c>
      <c r="E266" s="5" t="s">
        <v>34</v>
      </c>
      <c r="F266" s="5" t="s">
        <v>328</v>
      </c>
      <c r="G266" s="5">
        <v>2019</v>
      </c>
      <c r="H266" s="5" t="str">
        <f>CONCATENATE("94240516339")</f>
        <v>94240516339</v>
      </c>
      <c r="I266" s="5" t="s">
        <v>29</v>
      </c>
      <c r="J266" s="5" t="s">
        <v>30</v>
      </c>
      <c r="K266" s="5" t="str">
        <f>CONCATENATE("")</f>
        <v/>
      </c>
      <c r="L266" s="5" t="str">
        <f>CONCATENATE("10 10.1 4a")</f>
        <v>10 10.1 4a</v>
      </c>
      <c r="M266" s="5" t="str">
        <f>CONCATENATE("MNRDVD95H22I608R")</f>
        <v>MNRDVD95H22I608R</v>
      </c>
      <c r="N266" s="5" t="s">
        <v>341</v>
      </c>
      <c r="O266" s="5" t="s">
        <v>330</v>
      </c>
      <c r="P266" s="6">
        <v>43987</v>
      </c>
      <c r="Q266" s="5" t="s">
        <v>31</v>
      </c>
      <c r="R266" s="5" t="s">
        <v>32</v>
      </c>
      <c r="S266" s="5" t="s">
        <v>33</v>
      </c>
      <c r="T266" s="5"/>
      <c r="U266" s="5">
        <v>847.76</v>
      </c>
      <c r="V266" s="5">
        <v>365.55</v>
      </c>
      <c r="W266" s="5">
        <v>337.58</v>
      </c>
      <c r="X266" s="5">
        <v>0</v>
      </c>
      <c r="Y266" s="5">
        <v>144.63</v>
      </c>
    </row>
    <row r="267" spans="1:25" ht="24.75" x14ac:dyDescent="0.25">
      <c r="A267" s="5" t="s">
        <v>26</v>
      </c>
      <c r="B267" s="5" t="s">
        <v>38</v>
      </c>
      <c r="C267" s="5" t="s">
        <v>49</v>
      </c>
      <c r="D267" s="5" t="s">
        <v>54</v>
      </c>
      <c r="E267" s="5" t="s">
        <v>34</v>
      </c>
      <c r="F267" s="5" t="s">
        <v>328</v>
      </c>
      <c r="G267" s="5">
        <v>2019</v>
      </c>
      <c r="H267" s="5" t="str">
        <f>CONCATENATE("94240516347")</f>
        <v>94240516347</v>
      </c>
      <c r="I267" s="5" t="s">
        <v>29</v>
      </c>
      <c r="J267" s="5" t="s">
        <v>30</v>
      </c>
      <c r="K267" s="5" t="str">
        <f>CONCATENATE("")</f>
        <v/>
      </c>
      <c r="L267" s="5" t="str">
        <f>CONCATENATE("10 10.1 4a")</f>
        <v>10 10.1 4a</v>
      </c>
      <c r="M267" s="5" t="str">
        <f>CONCATENATE("MNRDVD95H22I608R")</f>
        <v>MNRDVD95H22I608R</v>
      </c>
      <c r="N267" s="5" t="s">
        <v>341</v>
      </c>
      <c r="O267" s="5" t="s">
        <v>330</v>
      </c>
      <c r="P267" s="6">
        <v>43987</v>
      </c>
      <c r="Q267" s="5" t="s">
        <v>31</v>
      </c>
      <c r="R267" s="5" t="s">
        <v>32</v>
      </c>
      <c r="S267" s="5" t="s">
        <v>33</v>
      </c>
      <c r="T267" s="5"/>
      <c r="U267" s="7">
        <v>1902.64</v>
      </c>
      <c r="V267" s="5">
        <v>820.42</v>
      </c>
      <c r="W267" s="5">
        <v>757.63</v>
      </c>
      <c r="X267" s="5">
        <v>0</v>
      </c>
      <c r="Y267" s="5">
        <v>324.58999999999997</v>
      </c>
    </row>
    <row r="268" spans="1:25" ht="24.75" x14ac:dyDescent="0.25">
      <c r="A268" s="5" t="s">
        <v>26</v>
      </c>
      <c r="B268" s="5" t="s">
        <v>38</v>
      </c>
      <c r="C268" s="5" t="s">
        <v>49</v>
      </c>
      <c r="D268" s="5" t="s">
        <v>54</v>
      </c>
      <c r="E268" s="5" t="s">
        <v>39</v>
      </c>
      <c r="F268" s="5" t="s">
        <v>342</v>
      </c>
      <c r="G268" s="5">
        <v>2019</v>
      </c>
      <c r="H268" s="5" t="str">
        <f>CONCATENATE("94240678121")</f>
        <v>94240678121</v>
      </c>
      <c r="I268" s="5" t="s">
        <v>29</v>
      </c>
      <c r="J268" s="5" t="s">
        <v>30</v>
      </c>
      <c r="K268" s="5" t="str">
        <f>CONCATENATE("")</f>
        <v/>
      </c>
      <c r="L268" s="5" t="str">
        <f>CONCATENATE("10 10.1 4a")</f>
        <v>10 10.1 4a</v>
      </c>
      <c r="M268" s="5" t="str">
        <f>CONCATENATE("PRNLBT67T64G157T")</f>
        <v>PRNLBT67T64G157T</v>
      </c>
      <c r="N268" s="5" t="s">
        <v>343</v>
      </c>
      <c r="O268" s="5" t="s">
        <v>330</v>
      </c>
      <c r="P268" s="6">
        <v>43987</v>
      </c>
      <c r="Q268" s="5" t="s">
        <v>31</v>
      </c>
      <c r="R268" s="5" t="s">
        <v>32</v>
      </c>
      <c r="S268" s="5" t="s">
        <v>33</v>
      </c>
      <c r="T268" s="5"/>
      <c r="U268" s="5">
        <v>700.48</v>
      </c>
      <c r="V268" s="5">
        <v>302.05</v>
      </c>
      <c r="W268" s="5">
        <v>278.93</v>
      </c>
      <c r="X268" s="5">
        <v>0</v>
      </c>
      <c r="Y268" s="5">
        <v>119.5</v>
      </c>
    </row>
    <row r="269" spans="1:25" ht="24.75" x14ac:dyDescent="0.25">
      <c r="A269" s="5" t="s">
        <v>26</v>
      </c>
      <c r="B269" s="5" t="s">
        <v>38</v>
      </c>
      <c r="C269" s="5" t="s">
        <v>49</v>
      </c>
      <c r="D269" s="5" t="s">
        <v>54</v>
      </c>
      <c r="E269" s="5" t="s">
        <v>34</v>
      </c>
      <c r="F269" s="5" t="s">
        <v>203</v>
      </c>
      <c r="G269" s="5">
        <v>2019</v>
      </c>
      <c r="H269" s="5" t="str">
        <f>CONCATENATE("94241004178")</f>
        <v>94241004178</v>
      </c>
      <c r="I269" s="5" t="s">
        <v>29</v>
      </c>
      <c r="J269" s="5" t="s">
        <v>30</v>
      </c>
      <c r="K269" s="5" t="str">
        <f>CONCATENATE("")</f>
        <v/>
      </c>
      <c r="L269" s="5" t="str">
        <f>CONCATENATE("10 10.1 4a")</f>
        <v>10 10.1 4a</v>
      </c>
      <c r="M269" s="5" t="str">
        <f>CONCATENATE("BRNLSS84L07A271E")</f>
        <v>BRNLSS84L07A271E</v>
      </c>
      <c r="N269" s="5" t="s">
        <v>279</v>
      </c>
      <c r="O269" s="5" t="s">
        <v>330</v>
      </c>
      <c r="P269" s="6">
        <v>43987</v>
      </c>
      <c r="Q269" s="5" t="s">
        <v>31</v>
      </c>
      <c r="R269" s="5" t="s">
        <v>32</v>
      </c>
      <c r="S269" s="5" t="s">
        <v>33</v>
      </c>
      <c r="T269" s="5"/>
      <c r="U269" s="5">
        <v>445.76</v>
      </c>
      <c r="V269" s="5">
        <v>192.21</v>
      </c>
      <c r="W269" s="5">
        <v>177.5</v>
      </c>
      <c r="X269" s="5">
        <v>0</v>
      </c>
      <c r="Y269" s="5">
        <v>76.05</v>
      </c>
    </row>
    <row r="270" spans="1:25" ht="24.75" x14ac:dyDescent="0.25">
      <c r="A270" s="5" t="s">
        <v>26</v>
      </c>
      <c r="B270" s="5" t="s">
        <v>38</v>
      </c>
      <c r="C270" s="5" t="s">
        <v>49</v>
      </c>
      <c r="D270" s="5" t="s">
        <v>54</v>
      </c>
      <c r="E270" s="5" t="s">
        <v>34</v>
      </c>
      <c r="F270" s="5" t="s">
        <v>203</v>
      </c>
      <c r="G270" s="5">
        <v>2019</v>
      </c>
      <c r="H270" s="5" t="str">
        <f>CONCATENATE("94240434871")</f>
        <v>94240434871</v>
      </c>
      <c r="I270" s="5" t="s">
        <v>29</v>
      </c>
      <c r="J270" s="5" t="s">
        <v>30</v>
      </c>
      <c r="K270" s="5" t="str">
        <f>CONCATENATE("")</f>
        <v/>
      </c>
      <c r="L270" s="5" t="str">
        <f>CONCATENATE("10 10.1 4a")</f>
        <v>10 10.1 4a</v>
      </c>
      <c r="M270" s="5" t="str">
        <f>CONCATENATE("FRTLRT54E03C248P")</f>
        <v>FRTLRT54E03C248P</v>
      </c>
      <c r="N270" s="5" t="s">
        <v>344</v>
      </c>
      <c r="O270" s="5" t="s">
        <v>330</v>
      </c>
      <c r="P270" s="6">
        <v>43987</v>
      </c>
      <c r="Q270" s="5" t="s">
        <v>31</v>
      </c>
      <c r="R270" s="5" t="s">
        <v>32</v>
      </c>
      <c r="S270" s="5" t="s">
        <v>33</v>
      </c>
      <c r="T270" s="5"/>
      <c r="U270" s="5">
        <v>477.52</v>
      </c>
      <c r="V270" s="5">
        <v>205.91</v>
      </c>
      <c r="W270" s="5">
        <v>190.15</v>
      </c>
      <c r="X270" s="5">
        <v>0</v>
      </c>
      <c r="Y270" s="5">
        <v>81.459999999999994</v>
      </c>
    </row>
    <row r="271" spans="1:25" ht="24.75" x14ac:dyDescent="0.25">
      <c r="A271" s="5" t="s">
        <v>26</v>
      </c>
      <c r="B271" s="5" t="s">
        <v>38</v>
      </c>
      <c r="C271" s="5" t="s">
        <v>49</v>
      </c>
      <c r="D271" s="5" t="s">
        <v>58</v>
      </c>
      <c r="E271" s="5" t="s">
        <v>39</v>
      </c>
      <c r="F271" s="5" t="s">
        <v>72</v>
      </c>
      <c r="G271" s="5">
        <v>2017</v>
      </c>
      <c r="H271" s="5" t="str">
        <f>CONCATENATE("74240730106")</f>
        <v>74240730106</v>
      </c>
      <c r="I271" s="5" t="s">
        <v>29</v>
      </c>
      <c r="J271" s="5" t="s">
        <v>30</v>
      </c>
      <c r="K271" s="5" t="str">
        <f>CONCATENATE("")</f>
        <v/>
      </c>
      <c r="L271" s="5" t="str">
        <f>CONCATENATE("10 10.1 4a")</f>
        <v>10 10.1 4a</v>
      </c>
      <c r="M271" s="5" t="str">
        <f>CONCATENATE("RSTNCL86R13D488T")</f>
        <v>RSTNCL86R13D488T</v>
      </c>
      <c r="N271" s="5" t="s">
        <v>345</v>
      </c>
      <c r="O271" s="5" t="s">
        <v>346</v>
      </c>
      <c r="P271" s="6">
        <v>43987</v>
      </c>
      <c r="Q271" s="5" t="s">
        <v>31</v>
      </c>
      <c r="R271" s="5" t="s">
        <v>32</v>
      </c>
      <c r="S271" s="5" t="s">
        <v>33</v>
      </c>
      <c r="T271" s="5"/>
      <c r="U271" s="5">
        <v>179.28</v>
      </c>
      <c r="V271" s="5">
        <v>77.31</v>
      </c>
      <c r="W271" s="5">
        <v>71.39</v>
      </c>
      <c r="X271" s="5">
        <v>0</v>
      </c>
      <c r="Y271" s="5">
        <v>30.58</v>
      </c>
    </row>
    <row r="272" spans="1:25" ht="24.75" x14ac:dyDescent="0.25">
      <c r="A272" s="5" t="s">
        <v>26</v>
      </c>
      <c r="B272" s="5" t="s">
        <v>38</v>
      </c>
      <c r="C272" s="5" t="s">
        <v>49</v>
      </c>
      <c r="D272" s="5" t="s">
        <v>58</v>
      </c>
      <c r="E272" s="5" t="s">
        <v>39</v>
      </c>
      <c r="F272" s="5" t="s">
        <v>72</v>
      </c>
      <c r="G272" s="5">
        <v>2018</v>
      </c>
      <c r="H272" s="5" t="str">
        <f>CONCATENATE("84240546204")</f>
        <v>84240546204</v>
      </c>
      <c r="I272" s="5" t="s">
        <v>41</v>
      </c>
      <c r="J272" s="5" t="s">
        <v>30</v>
      </c>
      <c r="K272" s="5" t="str">
        <f>CONCATENATE("")</f>
        <v/>
      </c>
      <c r="L272" s="5" t="str">
        <f>CONCATENATE("10 10.1 4a")</f>
        <v>10 10.1 4a</v>
      </c>
      <c r="M272" s="5" t="str">
        <f>CONCATENATE("RSTNCL86R13D488T")</f>
        <v>RSTNCL86R13D488T</v>
      </c>
      <c r="N272" s="5" t="s">
        <v>345</v>
      </c>
      <c r="O272" s="5" t="s">
        <v>346</v>
      </c>
      <c r="P272" s="6">
        <v>43987</v>
      </c>
      <c r="Q272" s="5" t="s">
        <v>31</v>
      </c>
      <c r="R272" s="5" t="s">
        <v>32</v>
      </c>
      <c r="S272" s="5" t="s">
        <v>33</v>
      </c>
      <c r="T272" s="5"/>
      <c r="U272" s="5">
        <v>180.69</v>
      </c>
      <c r="V272" s="5">
        <v>77.91</v>
      </c>
      <c r="W272" s="5">
        <v>71.95</v>
      </c>
      <c r="X272" s="5">
        <v>0</v>
      </c>
      <c r="Y272" s="5">
        <v>30.83</v>
      </c>
    </row>
    <row r="273" spans="1:25" x14ac:dyDescent="0.25">
      <c r="A273" s="5" t="s">
        <v>26</v>
      </c>
      <c r="B273" s="5" t="s">
        <v>38</v>
      </c>
      <c r="C273" s="5" t="s">
        <v>49</v>
      </c>
      <c r="D273" s="5" t="s">
        <v>87</v>
      </c>
      <c r="E273" s="5" t="s">
        <v>39</v>
      </c>
      <c r="F273" s="5" t="s">
        <v>154</v>
      </c>
      <c r="G273" s="5">
        <v>2018</v>
      </c>
      <c r="H273" s="5" t="str">
        <f>CONCATENATE("84240556401")</f>
        <v>84240556401</v>
      </c>
      <c r="I273" s="5" t="s">
        <v>41</v>
      </c>
      <c r="J273" s="5" t="s">
        <v>30</v>
      </c>
      <c r="K273" s="5" t="str">
        <f>CONCATENATE("")</f>
        <v/>
      </c>
      <c r="L273" s="5" t="str">
        <f>CONCATENATE("10 10.1 4a")</f>
        <v>10 10.1 4a</v>
      </c>
      <c r="M273" s="5" t="str">
        <f>CONCATENATE("MLGMRC82D19C770N")</f>
        <v>MLGMRC82D19C770N</v>
      </c>
      <c r="N273" s="5" t="s">
        <v>305</v>
      </c>
      <c r="O273" s="5" t="s">
        <v>346</v>
      </c>
      <c r="P273" s="6">
        <v>43987</v>
      </c>
      <c r="Q273" s="5" t="s">
        <v>31</v>
      </c>
      <c r="R273" s="5" t="s">
        <v>32</v>
      </c>
      <c r="S273" s="5" t="s">
        <v>33</v>
      </c>
      <c r="T273" s="5"/>
      <c r="U273" s="5">
        <v>896.34</v>
      </c>
      <c r="V273" s="5">
        <v>386.5</v>
      </c>
      <c r="W273" s="5">
        <v>356.92</v>
      </c>
      <c r="X273" s="5">
        <v>0</v>
      </c>
      <c r="Y273" s="5">
        <v>152.91999999999999</v>
      </c>
    </row>
    <row r="274" spans="1:25" x14ac:dyDescent="0.25">
      <c r="A274" s="5" t="s">
        <v>26</v>
      </c>
      <c r="B274" s="5" t="s">
        <v>38</v>
      </c>
      <c r="C274" s="5" t="s">
        <v>49</v>
      </c>
      <c r="D274" s="5" t="s">
        <v>87</v>
      </c>
      <c r="E274" s="5" t="s">
        <v>39</v>
      </c>
      <c r="F274" s="5" t="s">
        <v>88</v>
      </c>
      <c r="G274" s="5">
        <v>2018</v>
      </c>
      <c r="H274" s="5" t="str">
        <f>CONCATENATE("84240333686")</f>
        <v>84240333686</v>
      </c>
      <c r="I274" s="5" t="s">
        <v>29</v>
      </c>
      <c r="J274" s="5" t="s">
        <v>30</v>
      </c>
      <c r="K274" s="5" t="str">
        <f>CONCATENATE("")</f>
        <v/>
      </c>
      <c r="L274" s="5" t="str">
        <f>CONCATENATE("10 10.1 4a")</f>
        <v>10 10.1 4a</v>
      </c>
      <c r="M274" s="5" t="str">
        <f>CONCATENATE("RLAMCR50S10G637S")</f>
        <v>RLAMCR50S10G637S</v>
      </c>
      <c r="N274" s="5" t="s">
        <v>190</v>
      </c>
      <c r="O274" s="5" t="s">
        <v>346</v>
      </c>
      <c r="P274" s="6">
        <v>43987</v>
      </c>
      <c r="Q274" s="5" t="s">
        <v>31</v>
      </c>
      <c r="R274" s="5" t="s">
        <v>32</v>
      </c>
      <c r="S274" s="5" t="s">
        <v>33</v>
      </c>
      <c r="T274" s="5"/>
      <c r="U274" s="7">
        <v>4710</v>
      </c>
      <c r="V274" s="7">
        <v>2030.95</v>
      </c>
      <c r="W274" s="7">
        <v>1875.52</v>
      </c>
      <c r="X274" s="5">
        <v>0</v>
      </c>
      <c r="Y274" s="5">
        <v>803.53</v>
      </c>
    </row>
    <row r="275" spans="1:25" ht="24.75" x14ac:dyDescent="0.25">
      <c r="A275" s="5" t="s">
        <v>26</v>
      </c>
      <c r="B275" s="5" t="s">
        <v>38</v>
      </c>
      <c r="C275" s="5" t="s">
        <v>49</v>
      </c>
      <c r="D275" s="5" t="s">
        <v>58</v>
      </c>
      <c r="E275" s="5" t="s">
        <v>34</v>
      </c>
      <c r="F275" s="5" t="s">
        <v>216</v>
      </c>
      <c r="G275" s="5">
        <v>2019</v>
      </c>
      <c r="H275" s="5" t="str">
        <f>CONCATENATE("94240761273")</f>
        <v>94240761273</v>
      </c>
      <c r="I275" s="5" t="s">
        <v>29</v>
      </c>
      <c r="J275" s="5" t="s">
        <v>30</v>
      </c>
      <c r="K275" s="5" t="str">
        <f>CONCATENATE("")</f>
        <v/>
      </c>
      <c r="L275" s="5" t="str">
        <f>CONCATENATE("11 11.2 4b")</f>
        <v>11 11.2 4b</v>
      </c>
      <c r="M275" s="5" t="str">
        <f>CONCATENATE("FLCPTR50D03F478M")</f>
        <v>FLCPTR50D03F478M</v>
      </c>
      <c r="N275" s="5" t="s">
        <v>347</v>
      </c>
      <c r="O275" s="5" t="s">
        <v>207</v>
      </c>
      <c r="P275" s="6">
        <v>43987</v>
      </c>
      <c r="Q275" s="5" t="s">
        <v>31</v>
      </c>
      <c r="R275" s="5" t="s">
        <v>32</v>
      </c>
      <c r="S275" s="5" t="s">
        <v>33</v>
      </c>
      <c r="T275" s="5"/>
      <c r="U275" s="7">
        <v>3817.93</v>
      </c>
      <c r="V275" s="7">
        <v>1646.29</v>
      </c>
      <c r="W275" s="7">
        <v>1520.3</v>
      </c>
      <c r="X275" s="5">
        <v>0</v>
      </c>
      <c r="Y275" s="5">
        <v>651.34</v>
      </c>
    </row>
    <row r="276" spans="1:25" ht="24.75" x14ac:dyDescent="0.25">
      <c r="A276" s="5" t="s">
        <v>26</v>
      </c>
      <c r="B276" s="5" t="s">
        <v>38</v>
      </c>
      <c r="C276" s="5" t="s">
        <v>49</v>
      </c>
      <c r="D276" s="5" t="s">
        <v>58</v>
      </c>
      <c r="E276" s="5" t="s">
        <v>34</v>
      </c>
      <c r="F276" s="5" t="s">
        <v>139</v>
      </c>
      <c r="G276" s="5">
        <v>2019</v>
      </c>
      <c r="H276" s="5" t="str">
        <f>CONCATENATE("94240920762")</f>
        <v>94240920762</v>
      </c>
      <c r="I276" s="5" t="s">
        <v>29</v>
      </c>
      <c r="J276" s="5" t="s">
        <v>30</v>
      </c>
      <c r="K276" s="5" t="str">
        <f>CONCATENATE("")</f>
        <v/>
      </c>
      <c r="L276" s="5" t="str">
        <f>CONCATENATE("11 11.2 4b")</f>
        <v>11 11.2 4b</v>
      </c>
      <c r="M276" s="5" t="str">
        <f>CONCATENATE("GTRCRS78A24D786U")</f>
        <v>GTRCRS78A24D786U</v>
      </c>
      <c r="N276" s="5" t="s">
        <v>348</v>
      </c>
      <c r="O276" s="5" t="s">
        <v>207</v>
      </c>
      <c r="P276" s="6">
        <v>43987</v>
      </c>
      <c r="Q276" s="5" t="s">
        <v>31</v>
      </c>
      <c r="R276" s="5" t="s">
        <v>32</v>
      </c>
      <c r="S276" s="5" t="s">
        <v>33</v>
      </c>
      <c r="T276" s="5"/>
      <c r="U276" s="5">
        <v>855.07</v>
      </c>
      <c r="V276" s="5">
        <v>368.71</v>
      </c>
      <c r="W276" s="5">
        <v>340.49</v>
      </c>
      <c r="X276" s="5">
        <v>0</v>
      </c>
      <c r="Y276" s="5">
        <v>145.87</v>
      </c>
    </row>
    <row r="277" spans="1:25" ht="24.75" x14ac:dyDescent="0.25">
      <c r="A277" s="5" t="s">
        <v>26</v>
      </c>
      <c r="B277" s="5" t="s">
        <v>38</v>
      </c>
      <c r="C277" s="5" t="s">
        <v>49</v>
      </c>
      <c r="D277" s="5" t="s">
        <v>58</v>
      </c>
      <c r="E277" s="5" t="s">
        <v>34</v>
      </c>
      <c r="F277" s="5" t="s">
        <v>139</v>
      </c>
      <c r="G277" s="5">
        <v>2019</v>
      </c>
      <c r="H277" s="5" t="str">
        <f>CONCATENATE("94240970429")</f>
        <v>94240970429</v>
      </c>
      <c r="I277" s="5" t="s">
        <v>29</v>
      </c>
      <c r="J277" s="5" t="s">
        <v>30</v>
      </c>
      <c r="K277" s="5" t="str">
        <f>CONCATENATE("")</f>
        <v/>
      </c>
      <c r="L277" s="5" t="str">
        <f>CONCATENATE("11 11.2 4b")</f>
        <v>11 11.2 4b</v>
      </c>
      <c r="M277" s="5" t="str">
        <f>CONCATENATE("GTRCRS78A24D786U")</f>
        <v>GTRCRS78A24D786U</v>
      </c>
      <c r="N277" s="5" t="s">
        <v>348</v>
      </c>
      <c r="O277" s="5" t="s">
        <v>207</v>
      </c>
      <c r="P277" s="6">
        <v>43987</v>
      </c>
      <c r="Q277" s="5" t="s">
        <v>31</v>
      </c>
      <c r="R277" s="5" t="s">
        <v>32</v>
      </c>
      <c r="S277" s="5" t="s">
        <v>33</v>
      </c>
      <c r="T277" s="5"/>
      <c r="U277" s="5">
        <v>957.03</v>
      </c>
      <c r="V277" s="5">
        <v>412.67</v>
      </c>
      <c r="W277" s="5">
        <v>381.09</v>
      </c>
      <c r="X277" s="5">
        <v>0</v>
      </c>
      <c r="Y277" s="5">
        <v>163.27000000000001</v>
      </c>
    </row>
    <row r="278" spans="1:25" x14ac:dyDescent="0.25">
      <c r="A278" s="5" t="s">
        <v>26</v>
      </c>
      <c r="B278" s="5" t="s">
        <v>38</v>
      </c>
      <c r="C278" s="5" t="s">
        <v>49</v>
      </c>
      <c r="D278" s="5" t="s">
        <v>87</v>
      </c>
      <c r="E278" s="5" t="s">
        <v>39</v>
      </c>
      <c r="F278" s="5" t="s">
        <v>88</v>
      </c>
      <c r="G278" s="5">
        <v>2019</v>
      </c>
      <c r="H278" s="5" t="str">
        <f>CONCATENATE("94240919723")</f>
        <v>94240919723</v>
      </c>
      <c r="I278" s="5" t="s">
        <v>29</v>
      </c>
      <c r="J278" s="5" t="s">
        <v>30</v>
      </c>
      <c r="K278" s="5" t="str">
        <f>CONCATENATE("")</f>
        <v/>
      </c>
      <c r="L278" s="5" t="str">
        <f>CONCATENATE("11 11.2 4b")</f>
        <v>11 11.2 4b</v>
      </c>
      <c r="M278" s="5" t="str">
        <f>CONCATENATE("SNTNLN42S20I661U")</f>
        <v>SNTNLN42S20I661U</v>
      </c>
      <c r="N278" s="5" t="s">
        <v>349</v>
      </c>
      <c r="O278" s="5" t="s">
        <v>207</v>
      </c>
      <c r="P278" s="6">
        <v>43987</v>
      </c>
      <c r="Q278" s="5" t="s">
        <v>31</v>
      </c>
      <c r="R278" s="5" t="s">
        <v>32</v>
      </c>
      <c r="S278" s="5" t="s">
        <v>33</v>
      </c>
      <c r="T278" s="5"/>
      <c r="U278" s="5">
        <v>267.70999999999998</v>
      </c>
      <c r="V278" s="5">
        <v>115.44</v>
      </c>
      <c r="W278" s="5">
        <v>106.6</v>
      </c>
      <c r="X278" s="5">
        <v>0</v>
      </c>
      <c r="Y278" s="5">
        <v>45.67</v>
      </c>
    </row>
    <row r="279" spans="1:25" ht="24.75" x14ac:dyDescent="0.25">
      <c r="A279" s="5" t="s">
        <v>26</v>
      </c>
      <c r="B279" s="5" t="s">
        <v>38</v>
      </c>
      <c r="C279" s="5" t="s">
        <v>49</v>
      </c>
      <c r="D279" s="5" t="s">
        <v>58</v>
      </c>
      <c r="E279" s="5" t="s">
        <v>35</v>
      </c>
      <c r="F279" s="5" t="s">
        <v>350</v>
      </c>
      <c r="G279" s="5">
        <v>2019</v>
      </c>
      <c r="H279" s="5" t="str">
        <f>CONCATENATE("94240285414")</f>
        <v>94240285414</v>
      </c>
      <c r="I279" s="5" t="s">
        <v>29</v>
      </c>
      <c r="J279" s="5" t="s">
        <v>30</v>
      </c>
      <c r="K279" s="5" t="str">
        <f>CONCATENATE("")</f>
        <v/>
      </c>
      <c r="L279" s="5" t="str">
        <f>CONCATENATE("11 11.1 4b")</f>
        <v>11 11.1 4b</v>
      </c>
      <c r="M279" s="5" t="str">
        <f>CONCATENATE("BCCGRL70E28I459S")</f>
        <v>BCCGRL70E28I459S</v>
      </c>
      <c r="N279" s="5" t="s">
        <v>351</v>
      </c>
      <c r="O279" s="5" t="s">
        <v>207</v>
      </c>
      <c r="P279" s="6">
        <v>43987</v>
      </c>
      <c r="Q279" s="5" t="s">
        <v>31</v>
      </c>
      <c r="R279" s="5" t="s">
        <v>32</v>
      </c>
      <c r="S279" s="5" t="s">
        <v>33</v>
      </c>
      <c r="T279" s="5"/>
      <c r="U279" s="7">
        <v>3783.89</v>
      </c>
      <c r="V279" s="7">
        <v>1631.61</v>
      </c>
      <c r="W279" s="7">
        <v>1506.74</v>
      </c>
      <c r="X279" s="5">
        <v>0</v>
      </c>
      <c r="Y279" s="5">
        <v>645.54</v>
      </c>
    </row>
    <row r="280" spans="1:25" ht="24.75" x14ac:dyDescent="0.25">
      <c r="A280" s="5" t="s">
        <v>26</v>
      </c>
      <c r="B280" s="5" t="s">
        <v>38</v>
      </c>
      <c r="C280" s="5" t="s">
        <v>49</v>
      </c>
      <c r="D280" s="5" t="s">
        <v>50</v>
      </c>
      <c r="E280" s="5" t="s">
        <v>39</v>
      </c>
      <c r="F280" s="5" t="s">
        <v>66</v>
      </c>
      <c r="G280" s="5">
        <v>2019</v>
      </c>
      <c r="H280" s="5" t="str">
        <f>CONCATENATE("94240404494")</f>
        <v>94240404494</v>
      </c>
      <c r="I280" s="5" t="s">
        <v>29</v>
      </c>
      <c r="J280" s="5" t="s">
        <v>30</v>
      </c>
      <c r="K280" s="5" t="str">
        <f>CONCATENATE("")</f>
        <v/>
      </c>
      <c r="L280" s="5" t="str">
        <f>CONCATENATE("11 11.2 4b")</f>
        <v>11 11.2 4b</v>
      </c>
      <c r="M280" s="5" t="str">
        <f>CONCATENATE("MSLFNC86M28A252Q")</f>
        <v>MSLFNC86M28A252Q</v>
      </c>
      <c r="N280" s="5" t="s">
        <v>352</v>
      </c>
      <c r="O280" s="5" t="s">
        <v>207</v>
      </c>
      <c r="P280" s="6">
        <v>43987</v>
      </c>
      <c r="Q280" s="5" t="s">
        <v>31</v>
      </c>
      <c r="R280" s="5" t="s">
        <v>32</v>
      </c>
      <c r="S280" s="5" t="s">
        <v>33</v>
      </c>
      <c r="T280" s="5"/>
      <c r="U280" s="5">
        <v>443.44</v>
      </c>
      <c r="V280" s="5">
        <v>191.21</v>
      </c>
      <c r="W280" s="5">
        <v>176.58</v>
      </c>
      <c r="X280" s="5">
        <v>0</v>
      </c>
      <c r="Y280" s="5">
        <v>75.650000000000006</v>
      </c>
    </row>
    <row r="281" spans="1:25" ht="24.75" x14ac:dyDescent="0.25">
      <c r="A281" s="5" t="s">
        <v>26</v>
      </c>
      <c r="B281" s="5" t="s">
        <v>38</v>
      </c>
      <c r="C281" s="5" t="s">
        <v>49</v>
      </c>
      <c r="D281" s="5" t="s">
        <v>50</v>
      </c>
      <c r="E281" s="5" t="s">
        <v>39</v>
      </c>
      <c r="F281" s="5" t="s">
        <v>353</v>
      </c>
      <c r="G281" s="5">
        <v>2019</v>
      </c>
      <c r="H281" s="5" t="str">
        <f>CONCATENATE("94240694623")</f>
        <v>94240694623</v>
      </c>
      <c r="I281" s="5" t="s">
        <v>29</v>
      </c>
      <c r="J281" s="5" t="s">
        <v>30</v>
      </c>
      <c r="K281" s="5" t="str">
        <f>CONCATENATE("")</f>
        <v/>
      </c>
      <c r="L281" s="5" t="str">
        <f>CONCATENATE("11 11.2 4b")</f>
        <v>11 11.2 4b</v>
      </c>
      <c r="M281" s="5" t="str">
        <f>CONCATENATE("CNTGCM86D30H769M")</f>
        <v>CNTGCM86D30H769M</v>
      </c>
      <c r="N281" s="5" t="s">
        <v>354</v>
      </c>
      <c r="O281" s="5" t="s">
        <v>207</v>
      </c>
      <c r="P281" s="6">
        <v>43987</v>
      </c>
      <c r="Q281" s="5" t="s">
        <v>31</v>
      </c>
      <c r="R281" s="5" t="s">
        <v>32</v>
      </c>
      <c r="S281" s="5" t="s">
        <v>33</v>
      </c>
      <c r="T281" s="5"/>
      <c r="U281" s="7">
        <v>15579.46</v>
      </c>
      <c r="V281" s="7">
        <v>6717.86</v>
      </c>
      <c r="W281" s="7">
        <v>6203.74</v>
      </c>
      <c r="X281" s="5">
        <v>0</v>
      </c>
      <c r="Y281" s="7">
        <v>2657.86</v>
      </c>
    </row>
    <row r="282" spans="1:25" ht="24.75" x14ac:dyDescent="0.25">
      <c r="A282" s="5" t="s">
        <v>26</v>
      </c>
      <c r="B282" s="5" t="s">
        <v>38</v>
      </c>
      <c r="C282" s="5" t="s">
        <v>49</v>
      </c>
      <c r="D282" s="5" t="s">
        <v>54</v>
      </c>
      <c r="E282" s="5" t="s">
        <v>36</v>
      </c>
      <c r="F282" s="5" t="s">
        <v>36</v>
      </c>
      <c r="G282" s="5">
        <v>2019</v>
      </c>
      <c r="H282" s="5" t="str">
        <f>CONCATENATE("94240578669")</f>
        <v>94240578669</v>
      </c>
      <c r="I282" s="5" t="s">
        <v>29</v>
      </c>
      <c r="J282" s="5" t="s">
        <v>30</v>
      </c>
      <c r="K282" s="5" t="str">
        <f>CONCATENATE("")</f>
        <v/>
      </c>
      <c r="L282" s="5" t="str">
        <f>CONCATENATE("11 11.2 4b")</f>
        <v>11 11.2 4b</v>
      </c>
      <c r="M282" s="5" t="str">
        <f>CONCATENATE("02391960420")</f>
        <v>02391960420</v>
      </c>
      <c r="N282" s="5" t="s">
        <v>355</v>
      </c>
      <c r="O282" s="5" t="s">
        <v>207</v>
      </c>
      <c r="P282" s="6">
        <v>43987</v>
      </c>
      <c r="Q282" s="5" t="s">
        <v>31</v>
      </c>
      <c r="R282" s="5" t="s">
        <v>32</v>
      </c>
      <c r="S282" s="5" t="s">
        <v>33</v>
      </c>
      <c r="T282" s="5"/>
      <c r="U282" s="7">
        <v>15639.64</v>
      </c>
      <c r="V282" s="7">
        <v>6743.81</v>
      </c>
      <c r="W282" s="7">
        <v>6227.7</v>
      </c>
      <c r="X282" s="5">
        <v>0</v>
      </c>
      <c r="Y282" s="7">
        <v>2668.13</v>
      </c>
    </row>
    <row r="283" spans="1:25" ht="24.75" x14ac:dyDescent="0.25">
      <c r="A283" s="5" t="s">
        <v>26</v>
      </c>
      <c r="B283" s="5" t="s">
        <v>38</v>
      </c>
      <c r="C283" s="5" t="s">
        <v>49</v>
      </c>
      <c r="D283" s="5" t="s">
        <v>50</v>
      </c>
      <c r="E283" s="5" t="s">
        <v>39</v>
      </c>
      <c r="F283" s="5" t="s">
        <v>51</v>
      </c>
      <c r="G283" s="5">
        <v>2018</v>
      </c>
      <c r="H283" s="5" t="str">
        <f>CONCATENATE("84240760573")</f>
        <v>84240760573</v>
      </c>
      <c r="I283" s="5" t="s">
        <v>29</v>
      </c>
      <c r="J283" s="5" t="s">
        <v>30</v>
      </c>
      <c r="K283" s="5" t="str">
        <f>CONCATENATE("")</f>
        <v/>
      </c>
      <c r="L283" s="5" t="str">
        <f>CONCATENATE("11 11.2 4b")</f>
        <v>11 11.2 4b</v>
      </c>
      <c r="M283" s="5" t="str">
        <f>CONCATENATE("DCSCLD86E47A258K")</f>
        <v>DCSCLD86E47A258K</v>
      </c>
      <c r="N283" s="5" t="s">
        <v>356</v>
      </c>
      <c r="O283" s="5" t="s">
        <v>207</v>
      </c>
      <c r="P283" s="6">
        <v>43987</v>
      </c>
      <c r="Q283" s="5" t="s">
        <v>31</v>
      </c>
      <c r="R283" s="5" t="s">
        <v>32</v>
      </c>
      <c r="S283" s="5" t="s">
        <v>33</v>
      </c>
      <c r="T283" s="5"/>
      <c r="U283" s="7">
        <v>5687.42</v>
      </c>
      <c r="V283" s="7">
        <v>2452.42</v>
      </c>
      <c r="W283" s="7">
        <v>2264.73</v>
      </c>
      <c r="X283" s="5">
        <v>0</v>
      </c>
      <c r="Y283" s="5">
        <v>970.27</v>
      </c>
    </row>
    <row r="284" spans="1:25" ht="24.75" x14ac:dyDescent="0.25">
      <c r="A284" s="5" t="s">
        <v>26</v>
      </c>
      <c r="B284" s="5" t="s">
        <v>38</v>
      </c>
      <c r="C284" s="5" t="s">
        <v>49</v>
      </c>
      <c r="D284" s="5" t="s">
        <v>50</v>
      </c>
      <c r="E284" s="5" t="s">
        <v>39</v>
      </c>
      <c r="F284" s="5" t="s">
        <v>51</v>
      </c>
      <c r="G284" s="5">
        <v>2019</v>
      </c>
      <c r="H284" s="5" t="str">
        <f>CONCATENATE("94241173106")</f>
        <v>94241173106</v>
      </c>
      <c r="I284" s="5" t="s">
        <v>29</v>
      </c>
      <c r="J284" s="5" t="s">
        <v>30</v>
      </c>
      <c r="K284" s="5" t="str">
        <f>CONCATENATE("")</f>
        <v/>
      </c>
      <c r="L284" s="5" t="str">
        <f>CONCATENATE("11 11.2 4b")</f>
        <v>11 11.2 4b</v>
      </c>
      <c r="M284" s="5" t="str">
        <f>CONCATENATE("DCSCLD86E47A258K")</f>
        <v>DCSCLD86E47A258K</v>
      </c>
      <c r="N284" s="5" t="s">
        <v>356</v>
      </c>
      <c r="O284" s="5" t="s">
        <v>207</v>
      </c>
      <c r="P284" s="6">
        <v>43987</v>
      </c>
      <c r="Q284" s="5" t="s">
        <v>31</v>
      </c>
      <c r="R284" s="5" t="s">
        <v>32</v>
      </c>
      <c r="S284" s="5" t="s">
        <v>33</v>
      </c>
      <c r="T284" s="5"/>
      <c r="U284" s="7">
        <v>5829.72</v>
      </c>
      <c r="V284" s="7">
        <v>2513.7800000000002</v>
      </c>
      <c r="W284" s="7">
        <v>2321.39</v>
      </c>
      <c r="X284" s="5">
        <v>0</v>
      </c>
      <c r="Y284" s="5">
        <v>994.55</v>
      </c>
    </row>
    <row r="285" spans="1:25" ht="24.75" x14ac:dyDescent="0.25">
      <c r="A285" s="5" t="s">
        <v>26</v>
      </c>
      <c r="B285" s="5" t="s">
        <v>38</v>
      </c>
      <c r="C285" s="5" t="s">
        <v>49</v>
      </c>
      <c r="D285" s="5" t="s">
        <v>50</v>
      </c>
      <c r="E285" s="5" t="s">
        <v>44</v>
      </c>
      <c r="F285" s="5" t="s">
        <v>205</v>
      </c>
      <c r="G285" s="5">
        <v>2019</v>
      </c>
      <c r="H285" s="5" t="str">
        <f>CONCATENATE("94241693764")</f>
        <v>94241693764</v>
      </c>
      <c r="I285" s="5" t="s">
        <v>29</v>
      </c>
      <c r="J285" s="5" t="s">
        <v>30</v>
      </c>
      <c r="K285" s="5" t="str">
        <f>CONCATENATE("")</f>
        <v/>
      </c>
      <c r="L285" s="5" t="str">
        <f>CONCATENATE("11 11.1 4b")</f>
        <v>11 11.1 4b</v>
      </c>
      <c r="M285" s="5" t="str">
        <f>CONCATENATE("DSNSVN46P66G005P")</f>
        <v>DSNSVN46P66G005P</v>
      </c>
      <c r="N285" s="5" t="s">
        <v>357</v>
      </c>
      <c r="O285" s="5" t="s">
        <v>207</v>
      </c>
      <c r="P285" s="6">
        <v>43987</v>
      </c>
      <c r="Q285" s="5" t="s">
        <v>31</v>
      </c>
      <c r="R285" s="5" t="s">
        <v>32</v>
      </c>
      <c r="S285" s="5" t="s">
        <v>33</v>
      </c>
      <c r="T285" s="5"/>
      <c r="U285" s="5">
        <v>363.69</v>
      </c>
      <c r="V285" s="5">
        <v>156.82</v>
      </c>
      <c r="W285" s="5">
        <v>144.82</v>
      </c>
      <c r="X285" s="5">
        <v>0</v>
      </c>
      <c r="Y285" s="5">
        <v>62.05</v>
      </c>
    </row>
    <row r="286" spans="1:25" ht="24.75" x14ac:dyDescent="0.25">
      <c r="A286" s="5" t="s">
        <v>26</v>
      </c>
      <c r="B286" s="5" t="s">
        <v>38</v>
      </c>
      <c r="C286" s="5" t="s">
        <v>49</v>
      </c>
      <c r="D286" s="5" t="s">
        <v>50</v>
      </c>
      <c r="E286" s="5" t="s">
        <v>39</v>
      </c>
      <c r="F286" s="5" t="s">
        <v>66</v>
      </c>
      <c r="G286" s="5">
        <v>2019</v>
      </c>
      <c r="H286" s="5" t="str">
        <f>CONCATENATE("94240767908")</f>
        <v>94240767908</v>
      </c>
      <c r="I286" s="5" t="s">
        <v>41</v>
      </c>
      <c r="J286" s="5" t="s">
        <v>30</v>
      </c>
      <c r="K286" s="5" t="str">
        <f>CONCATENATE("")</f>
        <v/>
      </c>
      <c r="L286" s="5" t="str">
        <f>CONCATENATE("11 11.2 4b")</f>
        <v>11 11.2 4b</v>
      </c>
      <c r="M286" s="5" t="str">
        <f>CONCATENATE("VLNLCN56H27F415X")</f>
        <v>VLNLCN56H27F415X</v>
      </c>
      <c r="N286" s="5" t="s">
        <v>358</v>
      </c>
      <c r="O286" s="5" t="s">
        <v>207</v>
      </c>
      <c r="P286" s="6">
        <v>43987</v>
      </c>
      <c r="Q286" s="5" t="s">
        <v>31</v>
      </c>
      <c r="R286" s="5" t="s">
        <v>32</v>
      </c>
      <c r="S286" s="5" t="s">
        <v>33</v>
      </c>
      <c r="T286" s="5"/>
      <c r="U286" s="5">
        <v>281.99</v>
      </c>
      <c r="V286" s="5">
        <v>121.59</v>
      </c>
      <c r="W286" s="5">
        <v>112.29</v>
      </c>
      <c r="X286" s="5">
        <v>0</v>
      </c>
      <c r="Y286" s="5">
        <v>48.11</v>
      </c>
    </row>
    <row r="287" spans="1:25" ht="24.75" x14ac:dyDescent="0.25">
      <c r="A287" s="5" t="s">
        <v>26</v>
      </c>
      <c r="B287" s="5" t="s">
        <v>38</v>
      </c>
      <c r="C287" s="5" t="s">
        <v>49</v>
      </c>
      <c r="D287" s="5" t="s">
        <v>50</v>
      </c>
      <c r="E287" s="5" t="s">
        <v>39</v>
      </c>
      <c r="F287" s="5" t="s">
        <v>353</v>
      </c>
      <c r="G287" s="5">
        <v>2019</v>
      </c>
      <c r="H287" s="5" t="str">
        <f>CONCATENATE("94240765134")</f>
        <v>94240765134</v>
      </c>
      <c r="I287" s="5" t="s">
        <v>29</v>
      </c>
      <c r="J287" s="5" t="s">
        <v>30</v>
      </c>
      <c r="K287" s="5" t="str">
        <f>CONCATENATE("")</f>
        <v/>
      </c>
      <c r="L287" s="5" t="str">
        <f>CONCATENATE("11 11.1 4b")</f>
        <v>11 11.1 4b</v>
      </c>
      <c r="M287" s="5" t="str">
        <f>CONCATENATE("LNCGTN52C29D096W")</f>
        <v>LNCGTN52C29D096W</v>
      </c>
      <c r="N287" s="5" t="s">
        <v>359</v>
      </c>
      <c r="O287" s="5" t="s">
        <v>207</v>
      </c>
      <c r="P287" s="6">
        <v>43987</v>
      </c>
      <c r="Q287" s="5" t="s">
        <v>31</v>
      </c>
      <c r="R287" s="5" t="s">
        <v>32</v>
      </c>
      <c r="S287" s="5" t="s">
        <v>33</v>
      </c>
      <c r="T287" s="5"/>
      <c r="U287" s="5">
        <v>108.99</v>
      </c>
      <c r="V287" s="5">
        <v>47</v>
      </c>
      <c r="W287" s="5">
        <v>43.4</v>
      </c>
      <c r="X287" s="5">
        <v>0</v>
      </c>
      <c r="Y287" s="5">
        <v>18.59</v>
      </c>
    </row>
    <row r="288" spans="1:25" ht="24.75" x14ac:dyDescent="0.25">
      <c r="A288" s="5" t="s">
        <v>26</v>
      </c>
      <c r="B288" s="5" t="s">
        <v>38</v>
      </c>
      <c r="C288" s="5" t="s">
        <v>49</v>
      </c>
      <c r="D288" s="5" t="s">
        <v>58</v>
      </c>
      <c r="E288" s="5" t="s">
        <v>34</v>
      </c>
      <c r="F288" s="5" t="s">
        <v>211</v>
      </c>
      <c r="G288" s="5">
        <v>2019</v>
      </c>
      <c r="H288" s="5" t="str">
        <f>CONCATENATE("94240318520")</f>
        <v>94240318520</v>
      </c>
      <c r="I288" s="5" t="s">
        <v>41</v>
      </c>
      <c r="J288" s="5" t="s">
        <v>30</v>
      </c>
      <c r="K288" s="5" t="str">
        <f>CONCATENATE("")</f>
        <v/>
      </c>
      <c r="L288" s="5" t="str">
        <f>CONCATENATE("11 11.1 4b")</f>
        <v>11 11.1 4b</v>
      </c>
      <c r="M288" s="5" t="str">
        <f>CONCATENATE("BRLPTR67C18G453L")</f>
        <v>BRLPTR67C18G453L</v>
      </c>
      <c r="N288" s="5" t="s">
        <v>360</v>
      </c>
      <c r="O288" s="5" t="s">
        <v>207</v>
      </c>
      <c r="P288" s="6">
        <v>43987</v>
      </c>
      <c r="Q288" s="5" t="s">
        <v>31</v>
      </c>
      <c r="R288" s="5" t="s">
        <v>32</v>
      </c>
      <c r="S288" s="5" t="s">
        <v>33</v>
      </c>
      <c r="T288" s="5"/>
      <c r="U288" s="5">
        <v>295.32</v>
      </c>
      <c r="V288" s="5">
        <v>127.34</v>
      </c>
      <c r="W288" s="5">
        <v>117.6</v>
      </c>
      <c r="X288" s="5">
        <v>0</v>
      </c>
      <c r="Y288" s="5">
        <v>50.38</v>
      </c>
    </row>
    <row r="289" spans="1:25" ht="24.75" x14ac:dyDescent="0.25">
      <c r="A289" s="5" t="s">
        <v>26</v>
      </c>
      <c r="B289" s="5" t="s">
        <v>38</v>
      </c>
      <c r="C289" s="5" t="s">
        <v>49</v>
      </c>
      <c r="D289" s="5" t="s">
        <v>54</v>
      </c>
      <c r="E289" s="5" t="s">
        <v>39</v>
      </c>
      <c r="F289" s="5" t="s">
        <v>200</v>
      </c>
      <c r="G289" s="5">
        <v>2019</v>
      </c>
      <c r="H289" s="5" t="str">
        <f>CONCATENATE("94240617905")</f>
        <v>94240617905</v>
      </c>
      <c r="I289" s="5" t="s">
        <v>29</v>
      </c>
      <c r="J289" s="5" t="s">
        <v>30</v>
      </c>
      <c r="K289" s="5" t="str">
        <f>CONCATENATE("")</f>
        <v/>
      </c>
      <c r="L289" s="5" t="str">
        <f>CONCATENATE("11 11.2 4b")</f>
        <v>11 11.2 4b</v>
      </c>
      <c r="M289" s="5" t="str">
        <f>CONCATENATE("CCENDR88P03E388Y")</f>
        <v>CCENDR88P03E388Y</v>
      </c>
      <c r="N289" s="5" t="s">
        <v>361</v>
      </c>
      <c r="O289" s="5" t="s">
        <v>207</v>
      </c>
      <c r="P289" s="6">
        <v>43987</v>
      </c>
      <c r="Q289" s="5" t="s">
        <v>31</v>
      </c>
      <c r="R289" s="5" t="s">
        <v>32</v>
      </c>
      <c r="S289" s="5" t="s">
        <v>33</v>
      </c>
      <c r="T289" s="5"/>
      <c r="U289" s="7">
        <v>14491.79</v>
      </c>
      <c r="V289" s="7">
        <v>6248.86</v>
      </c>
      <c r="W289" s="7">
        <v>5770.63</v>
      </c>
      <c r="X289" s="5">
        <v>0</v>
      </c>
      <c r="Y289" s="7">
        <v>2472.3000000000002</v>
      </c>
    </row>
    <row r="290" spans="1:25" ht="24.75" x14ac:dyDescent="0.25">
      <c r="A290" s="5" t="s">
        <v>26</v>
      </c>
      <c r="B290" s="5" t="s">
        <v>38</v>
      </c>
      <c r="C290" s="5" t="s">
        <v>49</v>
      </c>
      <c r="D290" s="5" t="s">
        <v>50</v>
      </c>
      <c r="E290" s="5" t="s">
        <v>36</v>
      </c>
      <c r="F290" s="5" t="s">
        <v>36</v>
      </c>
      <c r="G290" s="5">
        <v>2019</v>
      </c>
      <c r="H290" s="5" t="str">
        <f>CONCATENATE("94240947328")</f>
        <v>94240947328</v>
      </c>
      <c r="I290" s="5" t="s">
        <v>29</v>
      </c>
      <c r="J290" s="5" t="s">
        <v>30</v>
      </c>
      <c r="K290" s="5" t="str">
        <f>CONCATENATE("")</f>
        <v/>
      </c>
      <c r="L290" s="5" t="str">
        <f>CONCATENATE("11 11.2 4b")</f>
        <v>11 11.2 4b</v>
      </c>
      <c r="M290" s="5" t="str">
        <f>CONCATENATE("02255700441")</f>
        <v>02255700441</v>
      </c>
      <c r="N290" s="5" t="s">
        <v>362</v>
      </c>
      <c r="O290" s="5" t="s">
        <v>207</v>
      </c>
      <c r="P290" s="6">
        <v>43987</v>
      </c>
      <c r="Q290" s="5" t="s">
        <v>31</v>
      </c>
      <c r="R290" s="5" t="s">
        <v>32</v>
      </c>
      <c r="S290" s="5" t="s">
        <v>33</v>
      </c>
      <c r="T290" s="5"/>
      <c r="U290" s="5">
        <v>751.58</v>
      </c>
      <c r="V290" s="5">
        <v>324.08</v>
      </c>
      <c r="W290" s="5">
        <v>299.27999999999997</v>
      </c>
      <c r="X290" s="5">
        <v>0</v>
      </c>
      <c r="Y290" s="5">
        <v>128.22</v>
      </c>
    </row>
    <row r="291" spans="1:25" ht="24.75" x14ac:dyDescent="0.25">
      <c r="A291" s="5" t="s">
        <v>26</v>
      </c>
      <c r="B291" s="5" t="s">
        <v>38</v>
      </c>
      <c r="C291" s="5" t="s">
        <v>49</v>
      </c>
      <c r="D291" s="5" t="s">
        <v>50</v>
      </c>
      <c r="E291" s="5" t="s">
        <v>36</v>
      </c>
      <c r="F291" s="5" t="s">
        <v>36</v>
      </c>
      <c r="G291" s="5">
        <v>2019</v>
      </c>
      <c r="H291" s="5" t="str">
        <f>CONCATENATE("94240980436")</f>
        <v>94240980436</v>
      </c>
      <c r="I291" s="5" t="s">
        <v>29</v>
      </c>
      <c r="J291" s="5" t="s">
        <v>30</v>
      </c>
      <c r="K291" s="5" t="str">
        <f>CONCATENATE("")</f>
        <v/>
      </c>
      <c r="L291" s="5" t="str">
        <f>CONCATENATE("11 11.2 4b")</f>
        <v>11 11.2 4b</v>
      </c>
      <c r="M291" s="5" t="str">
        <f>CONCATENATE("02255700441")</f>
        <v>02255700441</v>
      </c>
      <c r="N291" s="5" t="s">
        <v>362</v>
      </c>
      <c r="O291" s="5" t="s">
        <v>207</v>
      </c>
      <c r="P291" s="6">
        <v>43987</v>
      </c>
      <c r="Q291" s="5" t="s">
        <v>31</v>
      </c>
      <c r="R291" s="5" t="s">
        <v>32</v>
      </c>
      <c r="S291" s="5" t="s">
        <v>33</v>
      </c>
      <c r="T291" s="5"/>
      <c r="U291" s="5">
        <v>521.29</v>
      </c>
      <c r="V291" s="5">
        <v>224.78</v>
      </c>
      <c r="W291" s="5">
        <v>207.58</v>
      </c>
      <c r="X291" s="5">
        <v>0</v>
      </c>
      <c r="Y291" s="5">
        <v>88.93</v>
      </c>
    </row>
    <row r="292" spans="1:25" ht="24.75" x14ac:dyDescent="0.25">
      <c r="A292" s="5" t="s">
        <v>26</v>
      </c>
      <c r="B292" s="5" t="s">
        <v>38</v>
      </c>
      <c r="C292" s="5" t="s">
        <v>49</v>
      </c>
      <c r="D292" s="5" t="s">
        <v>50</v>
      </c>
      <c r="E292" s="5" t="s">
        <v>36</v>
      </c>
      <c r="F292" s="5" t="s">
        <v>36</v>
      </c>
      <c r="G292" s="5">
        <v>2019</v>
      </c>
      <c r="H292" s="5" t="str">
        <f>CONCATENATE("94240977689")</f>
        <v>94240977689</v>
      </c>
      <c r="I292" s="5" t="s">
        <v>29</v>
      </c>
      <c r="J292" s="5" t="s">
        <v>30</v>
      </c>
      <c r="K292" s="5" t="str">
        <f>CONCATENATE("")</f>
        <v/>
      </c>
      <c r="L292" s="5" t="str">
        <f>CONCATENATE("11 11.1 4b")</f>
        <v>11 11.1 4b</v>
      </c>
      <c r="M292" s="5" t="str">
        <f>CONCATENATE("02255700441")</f>
        <v>02255700441</v>
      </c>
      <c r="N292" s="5" t="s">
        <v>362</v>
      </c>
      <c r="O292" s="5" t="s">
        <v>207</v>
      </c>
      <c r="P292" s="6">
        <v>43987</v>
      </c>
      <c r="Q292" s="5" t="s">
        <v>31</v>
      </c>
      <c r="R292" s="5" t="s">
        <v>32</v>
      </c>
      <c r="S292" s="5" t="s">
        <v>33</v>
      </c>
      <c r="T292" s="5"/>
      <c r="U292" s="7">
        <v>4566.42</v>
      </c>
      <c r="V292" s="7">
        <v>1969.04</v>
      </c>
      <c r="W292" s="7">
        <v>1818.35</v>
      </c>
      <c r="X292" s="5">
        <v>0</v>
      </c>
      <c r="Y292" s="5">
        <v>779.03</v>
      </c>
    </row>
    <row r="293" spans="1:25" ht="24.75" x14ac:dyDescent="0.25">
      <c r="A293" s="5" t="s">
        <v>26</v>
      </c>
      <c r="B293" s="5" t="s">
        <v>38</v>
      </c>
      <c r="C293" s="5" t="s">
        <v>49</v>
      </c>
      <c r="D293" s="5" t="s">
        <v>50</v>
      </c>
      <c r="E293" s="5" t="s">
        <v>44</v>
      </c>
      <c r="F293" s="5" t="s">
        <v>205</v>
      </c>
      <c r="G293" s="5">
        <v>2019</v>
      </c>
      <c r="H293" s="5" t="str">
        <f>CONCATENATE("94240729791")</f>
        <v>94240729791</v>
      </c>
      <c r="I293" s="5" t="s">
        <v>29</v>
      </c>
      <c r="J293" s="5" t="s">
        <v>30</v>
      </c>
      <c r="K293" s="5" t="str">
        <f>CONCATENATE("")</f>
        <v/>
      </c>
      <c r="L293" s="5" t="str">
        <f>CONCATENATE("11 11.1 4b")</f>
        <v>11 11.1 4b</v>
      </c>
      <c r="M293" s="5" t="str">
        <f>CONCATENATE("LBRPFR94H03H769C")</f>
        <v>LBRPFR94H03H769C</v>
      </c>
      <c r="N293" s="5" t="s">
        <v>363</v>
      </c>
      <c r="O293" s="5" t="s">
        <v>207</v>
      </c>
      <c r="P293" s="6">
        <v>43987</v>
      </c>
      <c r="Q293" s="5" t="s">
        <v>31</v>
      </c>
      <c r="R293" s="5" t="s">
        <v>32</v>
      </c>
      <c r="S293" s="5" t="s">
        <v>33</v>
      </c>
      <c r="T293" s="5"/>
      <c r="U293" s="5">
        <v>10.029999999999999</v>
      </c>
      <c r="V293" s="5">
        <v>4.32</v>
      </c>
      <c r="W293" s="5">
        <v>3.99</v>
      </c>
      <c r="X293" s="5">
        <v>0</v>
      </c>
      <c r="Y293" s="5">
        <v>1.72</v>
      </c>
    </row>
    <row r="294" spans="1:25" ht="24.75" x14ac:dyDescent="0.25">
      <c r="A294" s="5" t="s">
        <v>26</v>
      </c>
      <c r="B294" s="5" t="s">
        <v>38</v>
      </c>
      <c r="C294" s="5" t="s">
        <v>49</v>
      </c>
      <c r="D294" s="5" t="s">
        <v>50</v>
      </c>
      <c r="E294" s="5" t="s">
        <v>36</v>
      </c>
      <c r="F294" s="5" t="s">
        <v>36</v>
      </c>
      <c r="G294" s="5">
        <v>2018</v>
      </c>
      <c r="H294" s="5" t="str">
        <f>CONCATENATE("84241506520")</f>
        <v>84241506520</v>
      </c>
      <c r="I294" s="5" t="s">
        <v>29</v>
      </c>
      <c r="J294" s="5" t="s">
        <v>30</v>
      </c>
      <c r="K294" s="5" t="str">
        <f>CONCATENATE("")</f>
        <v/>
      </c>
      <c r="L294" s="5" t="str">
        <f>CONCATENATE("11 11.2 4b")</f>
        <v>11 11.2 4b</v>
      </c>
      <c r="M294" s="5" t="str">
        <f>CONCATENATE("01511110445")</f>
        <v>01511110445</v>
      </c>
      <c r="N294" s="5" t="s">
        <v>364</v>
      </c>
      <c r="O294" s="5" t="s">
        <v>207</v>
      </c>
      <c r="P294" s="6">
        <v>43987</v>
      </c>
      <c r="Q294" s="5" t="s">
        <v>31</v>
      </c>
      <c r="R294" s="5" t="s">
        <v>32</v>
      </c>
      <c r="S294" s="5" t="s">
        <v>33</v>
      </c>
      <c r="T294" s="5"/>
      <c r="U294" s="7">
        <v>108960.67</v>
      </c>
      <c r="V294" s="7">
        <v>46983.839999999997</v>
      </c>
      <c r="W294" s="7">
        <v>43388.14</v>
      </c>
      <c r="X294" s="5">
        <v>0</v>
      </c>
      <c r="Y294" s="7">
        <v>18588.689999999999</v>
      </c>
    </row>
    <row r="295" spans="1:25" ht="24.75" x14ac:dyDescent="0.25">
      <c r="A295" s="5" t="s">
        <v>26</v>
      </c>
      <c r="B295" s="5" t="s">
        <v>38</v>
      </c>
      <c r="C295" s="5" t="s">
        <v>49</v>
      </c>
      <c r="D295" s="5" t="s">
        <v>58</v>
      </c>
      <c r="E295" s="5" t="s">
        <v>34</v>
      </c>
      <c r="F295" s="5" t="s">
        <v>211</v>
      </c>
      <c r="G295" s="5">
        <v>2019</v>
      </c>
      <c r="H295" s="5" t="str">
        <f>CONCATENATE("94240130859")</f>
        <v>94240130859</v>
      </c>
      <c r="I295" s="5" t="s">
        <v>41</v>
      </c>
      <c r="J295" s="5" t="s">
        <v>30</v>
      </c>
      <c r="K295" s="5" t="str">
        <f>CONCATENATE("")</f>
        <v/>
      </c>
      <c r="L295" s="5" t="str">
        <f>CONCATENATE("11 11.1 4b")</f>
        <v>11 11.1 4b</v>
      </c>
      <c r="M295" s="5" t="str">
        <f>CONCATENATE("SCTMDL76L71F205L")</f>
        <v>SCTMDL76L71F205L</v>
      </c>
      <c r="N295" s="5" t="s">
        <v>365</v>
      </c>
      <c r="O295" s="5" t="s">
        <v>207</v>
      </c>
      <c r="P295" s="6">
        <v>43987</v>
      </c>
      <c r="Q295" s="5" t="s">
        <v>31</v>
      </c>
      <c r="R295" s="5" t="s">
        <v>32</v>
      </c>
      <c r="S295" s="5" t="s">
        <v>33</v>
      </c>
      <c r="T295" s="5"/>
      <c r="U295" s="5">
        <v>818.68</v>
      </c>
      <c r="V295" s="5">
        <v>353.01</v>
      </c>
      <c r="W295" s="5">
        <v>326</v>
      </c>
      <c r="X295" s="5">
        <v>0</v>
      </c>
      <c r="Y295" s="5">
        <v>139.66999999999999</v>
      </c>
    </row>
    <row r="296" spans="1:25" ht="24.75" x14ac:dyDescent="0.25">
      <c r="A296" s="5" t="s">
        <v>26</v>
      </c>
      <c r="B296" s="5" t="s">
        <v>38</v>
      </c>
      <c r="C296" s="5" t="s">
        <v>49</v>
      </c>
      <c r="D296" s="5" t="s">
        <v>50</v>
      </c>
      <c r="E296" s="5" t="s">
        <v>39</v>
      </c>
      <c r="F296" s="5" t="s">
        <v>66</v>
      </c>
      <c r="G296" s="5">
        <v>2019</v>
      </c>
      <c r="H296" s="5" t="str">
        <f>CONCATENATE("94240342892")</f>
        <v>94240342892</v>
      </c>
      <c r="I296" s="5" t="s">
        <v>29</v>
      </c>
      <c r="J296" s="5" t="s">
        <v>30</v>
      </c>
      <c r="K296" s="5" t="str">
        <f>CONCATENATE("")</f>
        <v/>
      </c>
      <c r="L296" s="5" t="str">
        <f>CONCATENATE("11 11.1 4b")</f>
        <v>11 11.1 4b</v>
      </c>
      <c r="M296" s="5" t="str">
        <f>CONCATENATE("02165220449")</f>
        <v>02165220449</v>
      </c>
      <c r="N296" s="5" t="s">
        <v>366</v>
      </c>
      <c r="O296" s="5" t="s">
        <v>207</v>
      </c>
      <c r="P296" s="6">
        <v>43987</v>
      </c>
      <c r="Q296" s="5" t="s">
        <v>31</v>
      </c>
      <c r="R296" s="5" t="s">
        <v>32</v>
      </c>
      <c r="S296" s="5" t="s">
        <v>33</v>
      </c>
      <c r="T296" s="5"/>
      <c r="U296" s="7">
        <v>3296.04</v>
      </c>
      <c r="V296" s="7">
        <v>1421.25</v>
      </c>
      <c r="W296" s="7">
        <v>1312.48</v>
      </c>
      <c r="X296" s="5">
        <v>0</v>
      </c>
      <c r="Y296" s="5">
        <v>562.30999999999995</v>
      </c>
    </row>
    <row r="297" spans="1:25" x14ac:dyDescent="0.25">
      <c r="A297" s="5" t="s">
        <v>26</v>
      </c>
      <c r="B297" s="5" t="s">
        <v>38</v>
      </c>
      <c r="C297" s="5" t="s">
        <v>49</v>
      </c>
      <c r="D297" s="5" t="s">
        <v>87</v>
      </c>
      <c r="E297" s="5" t="s">
        <v>39</v>
      </c>
      <c r="F297" s="5" t="s">
        <v>88</v>
      </c>
      <c r="G297" s="5">
        <v>2019</v>
      </c>
      <c r="H297" s="5" t="str">
        <f>CONCATENATE("94240925696")</f>
        <v>94240925696</v>
      </c>
      <c r="I297" s="5" t="s">
        <v>29</v>
      </c>
      <c r="J297" s="5" t="s">
        <v>30</v>
      </c>
      <c r="K297" s="5" t="str">
        <f>CONCATENATE("")</f>
        <v/>
      </c>
      <c r="L297" s="5" t="str">
        <f>CONCATENATE("11 11.2 4b")</f>
        <v>11 11.2 4b</v>
      </c>
      <c r="M297" s="5" t="str">
        <f>CONCATENATE("RNZRLA65D09B474J")</f>
        <v>RNZRLA65D09B474J</v>
      </c>
      <c r="N297" s="5" t="s">
        <v>367</v>
      </c>
      <c r="O297" s="5" t="s">
        <v>207</v>
      </c>
      <c r="P297" s="6">
        <v>43987</v>
      </c>
      <c r="Q297" s="5" t="s">
        <v>31</v>
      </c>
      <c r="R297" s="5" t="s">
        <v>32</v>
      </c>
      <c r="S297" s="5" t="s">
        <v>33</v>
      </c>
      <c r="T297" s="5"/>
      <c r="U297" s="5">
        <v>824.71</v>
      </c>
      <c r="V297" s="5">
        <v>355.61</v>
      </c>
      <c r="W297" s="5">
        <v>328.4</v>
      </c>
      <c r="X297" s="5">
        <v>0</v>
      </c>
      <c r="Y297" s="5">
        <v>140.69999999999999</v>
      </c>
    </row>
    <row r="298" spans="1:25" ht="24.75" x14ac:dyDescent="0.25">
      <c r="A298" s="5" t="s">
        <v>26</v>
      </c>
      <c r="B298" s="5" t="s">
        <v>38</v>
      </c>
      <c r="C298" s="5" t="s">
        <v>49</v>
      </c>
      <c r="D298" s="5" t="s">
        <v>50</v>
      </c>
      <c r="E298" s="5" t="s">
        <v>45</v>
      </c>
      <c r="F298" s="5" t="s">
        <v>62</v>
      </c>
      <c r="G298" s="5">
        <v>2019</v>
      </c>
      <c r="H298" s="5" t="str">
        <f>CONCATENATE("94240129638")</f>
        <v>94240129638</v>
      </c>
      <c r="I298" s="5" t="s">
        <v>29</v>
      </c>
      <c r="J298" s="5" t="s">
        <v>30</v>
      </c>
      <c r="K298" s="5" t="str">
        <f>CONCATENATE("")</f>
        <v/>
      </c>
      <c r="L298" s="5" t="str">
        <f>CONCATENATE("11 11.2 4b")</f>
        <v>11 11.2 4b</v>
      </c>
      <c r="M298" s="5" t="str">
        <f>CONCATENATE("DNGMLL63H68F415U")</f>
        <v>DNGMLL63H68F415U</v>
      </c>
      <c r="N298" s="5" t="s">
        <v>368</v>
      </c>
      <c r="O298" s="5" t="s">
        <v>207</v>
      </c>
      <c r="P298" s="6">
        <v>43987</v>
      </c>
      <c r="Q298" s="5" t="s">
        <v>31</v>
      </c>
      <c r="R298" s="5" t="s">
        <v>32</v>
      </c>
      <c r="S298" s="5" t="s">
        <v>33</v>
      </c>
      <c r="T298" s="5"/>
      <c r="U298" s="5">
        <v>36.729999999999997</v>
      </c>
      <c r="V298" s="5">
        <v>15.84</v>
      </c>
      <c r="W298" s="5">
        <v>14.63</v>
      </c>
      <c r="X298" s="5">
        <v>0</v>
      </c>
      <c r="Y298" s="5">
        <v>6.26</v>
      </c>
    </row>
    <row r="299" spans="1:25" ht="24.75" x14ac:dyDescent="0.25">
      <c r="A299" s="5" t="s">
        <v>26</v>
      </c>
      <c r="B299" s="5" t="s">
        <v>38</v>
      </c>
      <c r="C299" s="5" t="s">
        <v>49</v>
      </c>
      <c r="D299" s="5" t="s">
        <v>50</v>
      </c>
      <c r="E299" s="5" t="s">
        <v>36</v>
      </c>
      <c r="F299" s="5" t="s">
        <v>36</v>
      </c>
      <c r="G299" s="5">
        <v>2019</v>
      </c>
      <c r="H299" s="5" t="str">
        <f>CONCATENATE("94241088205")</f>
        <v>94241088205</v>
      </c>
      <c r="I299" s="5" t="s">
        <v>41</v>
      </c>
      <c r="J299" s="5" t="s">
        <v>30</v>
      </c>
      <c r="K299" s="5" t="str">
        <f>CONCATENATE("")</f>
        <v/>
      </c>
      <c r="L299" s="5" t="str">
        <f>CONCATENATE("11 11.2 4b")</f>
        <v>11 11.2 4b</v>
      </c>
      <c r="M299" s="5" t="str">
        <f>CONCATENATE("01582430441")</f>
        <v>01582430441</v>
      </c>
      <c r="N299" s="5" t="s">
        <v>369</v>
      </c>
      <c r="O299" s="5" t="s">
        <v>207</v>
      </c>
      <c r="P299" s="6">
        <v>43987</v>
      </c>
      <c r="Q299" s="5" t="s">
        <v>31</v>
      </c>
      <c r="R299" s="5" t="s">
        <v>32</v>
      </c>
      <c r="S299" s="5" t="s">
        <v>33</v>
      </c>
      <c r="T299" s="5"/>
      <c r="U299" s="7">
        <v>1441.95</v>
      </c>
      <c r="V299" s="5">
        <v>621.77</v>
      </c>
      <c r="W299" s="5">
        <v>574.17999999999995</v>
      </c>
      <c r="X299" s="5">
        <v>0</v>
      </c>
      <c r="Y299" s="5">
        <v>246</v>
      </c>
    </row>
    <row r="300" spans="1:25" ht="24.75" x14ac:dyDescent="0.25">
      <c r="A300" s="5" t="s">
        <v>26</v>
      </c>
      <c r="B300" s="5" t="s">
        <v>38</v>
      </c>
      <c r="C300" s="5" t="s">
        <v>49</v>
      </c>
      <c r="D300" s="5" t="s">
        <v>50</v>
      </c>
      <c r="E300" s="5" t="s">
        <v>39</v>
      </c>
      <c r="F300" s="5" t="s">
        <v>66</v>
      </c>
      <c r="G300" s="5">
        <v>2019</v>
      </c>
      <c r="H300" s="5" t="str">
        <f>CONCATENATE("94241120537")</f>
        <v>94241120537</v>
      </c>
      <c r="I300" s="5" t="s">
        <v>29</v>
      </c>
      <c r="J300" s="5" t="s">
        <v>30</v>
      </c>
      <c r="K300" s="5" t="str">
        <f>CONCATENATE("")</f>
        <v/>
      </c>
      <c r="L300" s="5" t="str">
        <f>CONCATENATE("11 11.2 4b")</f>
        <v>11 11.2 4b</v>
      </c>
      <c r="M300" s="5" t="str">
        <f>CONCATENATE("00938480449")</f>
        <v>00938480449</v>
      </c>
      <c r="N300" s="5" t="s">
        <v>370</v>
      </c>
      <c r="O300" s="5" t="s">
        <v>207</v>
      </c>
      <c r="P300" s="6">
        <v>43987</v>
      </c>
      <c r="Q300" s="5" t="s">
        <v>31</v>
      </c>
      <c r="R300" s="5" t="s">
        <v>32</v>
      </c>
      <c r="S300" s="5" t="s">
        <v>33</v>
      </c>
      <c r="T300" s="5"/>
      <c r="U300" s="5">
        <v>357.22</v>
      </c>
      <c r="V300" s="5">
        <v>154.03</v>
      </c>
      <c r="W300" s="5">
        <v>142.25</v>
      </c>
      <c r="X300" s="5">
        <v>0</v>
      </c>
      <c r="Y300" s="5">
        <v>60.94</v>
      </c>
    </row>
    <row r="301" spans="1:25" ht="24.75" x14ac:dyDescent="0.25">
      <c r="A301" s="5" t="s">
        <v>26</v>
      </c>
      <c r="B301" s="5" t="s">
        <v>38</v>
      </c>
      <c r="C301" s="5" t="s">
        <v>49</v>
      </c>
      <c r="D301" s="5" t="s">
        <v>50</v>
      </c>
      <c r="E301" s="5" t="s">
        <v>39</v>
      </c>
      <c r="F301" s="5" t="s">
        <v>66</v>
      </c>
      <c r="G301" s="5">
        <v>2018</v>
      </c>
      <c r="H301" s="5" t="str">
        <f>CONCATENATE("84240850945")</f>
        <v>84240850945</v>
      </c>
      <c r="I301" s="5" t="s">
        <v>29</v>
      </c>
      <c r="J301" s="5" t="s">
        <v>30</v>
      </c>
      <c r="K301" s="5" t="str">
        <f>CONCATENATE("")</f>
        <v/>
      </c>
      <c r="L301" s="5" t="str">
        <f>CONCATENATE("10 10.1 4a")</f>
        <v>10 10.1 4a</v>
      </c>
      <c r="M301" s="5" t="str">
        <f>CONCATENATE("00938480449")</f>
        <v>00938480449</v>
      </c>
      <c r="N301" s="5" t="s">
        <v>370</v>
      </c>
      <c r="O301" s="5" t="s">
        <v>330</v>
      </c>
      <c r="P301" s="6">
        <v>43987</v>
      </c>
      <c r="Q301" s="5" t="s">
        <v>31</v>
      </c>
      <c r="R301" s="5" t="s">
        <v>32</v>
      </c>
      <c r="S301" s="5" t="s">
        <v>33</v>
      </c>
      <c r="T301" s="5"/>
      <c r="U301" s="5">
        <v>667.04</v>
      </c>
      <c r="V301" s="5">
        <v>287.63</v>
      </c>
      <c r="W301" s="5">
        <v>265.62</v>
      </c>
      <c r="X301" s="5">
        <v>0</v>
      </c>
      <c r="Y301" s="5">
        <v>113.79</v>
      </c>
    </row>
    <row r="302" spans="1:25" ht="24.75" x14ac:dyDescent="0.25">
      <c r="A302" s="5" t="s">
        <v>26</v>
      </c>
      <c r="B302" s="5" t="s">
        <v>38</v>
      </c>
      <c r="C302" s="5" t="s">
        <v>49</v>
      </c>
      <c r="D302" s="5" t="s">
        <v>54</v>
      </c>
      <c r="E302" s="5" t="s">
        <v>34</v>
      </c>
      <c r="F302" s="5" t="s">
        <v>203</v>
      </c>
      <c r="G302" s="5">
        <v>2019</v>
      </c>
      <c r="H302" s="5" t="str">
        <f>CONCATENATE("94240434392")</f>
        <v>94240434392</v>
      </c>
      <c r="I302" s="5" t="s">
        <v>29</v>
      </c>
      <c r="J302" s="5" t="s">
        <v>30</v>
      </c>
      <c r="K302" s="5" t="str">
        <f>CONCATENATE("")</f>
        <v/>
      </c>
      <c r="L302" s="5" t="str">
        <f>CONCATENATE("10 10.1 4a")</f>
        <v>10 10.1 4a</v>
      </c>
      <c r="M302" s="5" t="str">
        <f>CONCATENATE("BRVPLA73A71E388I")</f>
        <v>BRVPLA73A71E388I</v>
      </c>
      <c r="N302" s="5" t="s">
        <v>371</v>
      </c>
      <c r="O302" s="5" t="s">
        <v>330</v>
      </c>
      <c r="P302" s="6">
        <v>43987</v>
      </c>
      <c r="Q302" s="5" t="s">
        <v>31</v>
      </c>
      <c r="R302" s="5" t="s">
        <v>32</v>
      </c>
      <c r="S302" s="5" t="s">
        <v>33</v>
      </c>
      <c r="T302" s="5"/>
      <c r="U302" s="5">
        <v>85.36</v>
      </c>
      <c r="V302" s="5">
        <v>36.81</v>
      </c>
      <c r="W302" s="5">
        <v>33.99</v>
      </c>
      <c r="X302" s="5">
        <v>0</v>
      </c>
      <c r="Y302" s="5">
        <v>14.56</v>
      </c>
    </row>
    <row r="303" spans="1:25" ht="24.75" x14ac:dyDescent="0.25">
      <c r="A303" s="5" t="s">
        <v>26</v>
      </c>
      <c r="B303" s="5" t="s">
        <v>38</v>
      </c>
      <c r="C303" s="5" t="s">
        <v>49</v>
      </c>
      <c r="D303" s="5" t="s">
        <v>54</v>
      </c>
      <c r="E303" s="5" t="s">
        <v>45</v>
      </c>
      <c r="F303" s="5" t="s">
        <v>113</v>
      </c>
      <c r="G303" s="5">
        <v>2019</v>
      </c>
      <c r="H303" s="5" t="str">
        <f>CONCATENATE("94240838048")</f>
        <v>94240838048</v>
      </c>
      <c r="I303" s="5" t="s">
        <v>29</v>
      </c>
      <c r="J303" s="5" t="s">
        <v>30</v>
      </c>
      <c r="K303" s="5" t="str">
        <f>CONCATENATE("")</f>
        <v/>
      </c>
      <c r="L303" s="5" t="str">
        <f>CONCATENATE("11 11.1 4b")</f>
        <v>11 11.1 4b</v>
      </c>
      <c r="M303" s="5" t="str">
        <f>CONCATENATE("PLNNGL95C07B352J")</f>
        <v>PLNNGL95C07B352J</v>
      </c>
      <c r="N303" s="5" t="s">
        <v>372</v>
      </c>
      <c r="O303" s="5" t="s">
        <v>207</v>
      </c>
      <c r="P303" s="6">
        <v>43987</v>
      </c>
      <c r="Q303" s="5" t="s">
        <v>31</v>
      </c>
      <c r="R303" s="5" t="s">
        <v>32</v>
      </c>
      <c r="S303" s="5" t="s">
        <v>33</v>
      </c>
      <c r="T303" s="5"/>
      <c r="U303" s="7">
        <v>2418.4499999999998</v>
      </c>
      <c r="V303" s="7">
        <v>1042.8399999999999</v>
      </c>
      <c r="W303" s="5">
        <v>963.03</v>
      </c>
      <c r="X303" s="5">
        <v>0</v>
      </c>
      <c r="Y303" s="5">
        <v>412.58</v>
      </c>
    </row>
    <row r="304" spans="1:25" ht="24.75" x14ac:dyDescent="0.25">
      <c r="A304" s="5" t="s">
        <v>26</v>
      </c>
      <c r="B304" s="5" t="s">
        <v>38</v>
      </c>
      <c r="C304" s="5" t="s">
        <v>49</v>
      </c>
      <c r="D304" s="5" t="s">
        <v>54</v>
      </c>
      <c r="E304" s="5" t="s">
        <v>45</v>
      </c>
      <c r="F304" s="5" t="s">
        <v>125</v>
      </c>
      <c r="G304" s="5">
        <v>2018</v>
      </c>
      <c r="H304" s="5" t="str">
        <f>CONCATENATE("84241075484")</f>
        <v>84241075484</v>
      </c>
      <c r="I304" s="5" t="s">
        <v>29</v>
      </c>
      <c r="J304" s="5" t="s">
        <v>30</v>
      </c>
      <c r="K304" s="5" t="str">
        <f>CONCATENATE("")</f>
        <v/>
      </c>
      <c r="L304" s="5" t="str">
        <f>CONCATENATE("11 11.2 4b")</f>
        <v>11 11.2 4b</v>
      </c>
      <c r="M304" s="5" t="str">
        <f>CONCATENATE("00170290423")</f>
        <v>00170290423</v>
      </c>
      <c r="N304" s="5" t="s">
        <v>373</v>
      </c>
      <c r="O304" s="5" t="s">
        <v>207</v>
      </c>
      <c r="P304" s="6">
        <v>43987</v>
      </c>
      <c r="Q304" s="5" t="s">
        <v>31</v>
      </c>
      <c r="R304" s="5" t="s">
        <v>32</v>
      </c>
      <c r="S304" s="5" t="s">
        <v>33</v>
      </c>
      <c r="T304" s="5"/>
      <c r="U304" s="7">
        <v>25685.39</v>
      </c>
      <c r="V304" s="7">
        <v>11075.54</v>
      </c>
      <c r="W304" s="7">
        <v>10227.92</v>
      </c>
      <c r="X304" s="5">
        <v>0</v>
      </c>
      <c r="Y304" s="7">
        <v>4381.93</v>
      </c>
    </row>
    <row r="305" spans="1:25" ht="24.75" x14ac:dyDescent="0.25">
      <c r="A305" s="5" t="s">
        <v>26</v>
      </c>
      <c r="B305" s="5" t="s">
        <v>38</v>
      </c>
      <c r="C305" s="5" t="s">
        <v>49</v>
      </c>
      <c r="D305" s="5" t="s">
        <v>87</v>
      </c>
      <c r="E305" s="5" t="s">
        <v>35</v>
      </c>
      <c r="F305" s="5" t="s">
        <v>214</v>
      </c>
      <c r="G305" s="5">
        <v>2019</v>
      </c>
      <c r="H305" s="5" t="str">
        <f>CONCATENATE("94240938798")</f>
        <v>94240938798</v>
      </c>
      <c r="I305" s="5" t="s">
        <v>29</v>
      </c>
      <c r="J305" s="5" t="s">
        <v>30</v>
      </c>
      <c r="K305" s="5" t="str">
        <f>CONCATENATE("")</f>
        <v/>
      </c>
      <c r="L305" s="5" t="str">
        <f>CONCATENATE("11 11.2 4b")</f>
        <v>11 11.2 4b</v>
      </c>
      <c r="M305" s="5" t="str">
        <f>CONCATENATE("01901260438")</f>
        <v>01901260438</v>
      </c>
      <c r="N305" s="5" t="s">
        <v>374</v>
      </c>
      <c r="O305" s="5" t="s">
        <v>207</v>
      </c>
      <c r="P305" s="6">
        <v>43987</v>
      </c>
      <c r="Q305" s="5" t="s">
        <v>31</v>
      </c>
      <c r="R305" s="5" t="s">
        <v>32</v>
      </c>
      <c r="S305" s="5" t="s">
        <v>33</v>
      </c>
      <c r="T305" s="5"/>
      <c r="U305" s="5">
        <v>398.13</v>
      </c>
      <c r="V305" s="5">
        <v>171.67</v>
      </c>
      <c r="W305" s="5">
        <v>158.54</v>
      </c>
      <c r="X305" s="5">
        <v>0</v>
      </c>
      <c r="Y305" s="5">
        <v>67.92</v>
      </c>
    </row>
    <row r="306" spans="1:25" ht="24.75" x14ac:dyDescent="0.25">
      <c r="A306" s="5" t="s">
        <v>26</v>
      </c>
      <c r="B306" s="5" t="s">
        <v>38</v>
      </c>
      <c r="C306" s="5" t="s">
        <v>49</v>
      </c>
      <c r="D306" s="5" t="s">
        <v>50</v>
      </c>
      <c r="E306" s="5" t="s">
        <v>39</v>
      </c>
      <c r="F306" s="5" t="s">
        <v>51</v>
      </c>
      <c r="G306" s="5">
        <v>2019</v>
      </c>
      <c r="H306" s="5" t="str">
        <f>CONCATENATE("94240877129")</f>
        <v>94240877129</v>
      </c>
      <c r="I306" s="5" t="s">
        <v>29</v>
      </c>
      <c r="J306" s="5" t="s">
        <v>30</v>
      </c>
      <c r="K306" s="5" t="str">
        <f>CONCATENATE("")</f>
        <v/>
      </c>
      <c r="L306" s="5" t="str">
        <f>CONCATENATE("11 11.2 4b")</f>
        <v>11 11.2 4b</v>
      </c>
      <c r="M306" s="5" t="str">
        <f>CONCATENATE("SNTSNT61L55A437H")</f>
        <v>SNTSNT61L55A437H</v>
      </c>
      <c r="N306" s="5" t="s">
        <v>375</v>
      </c>
      <c r="O306" s="5" t="s">
        <v>207</v>
      </c>
      <c r="P306" s="6">
        <v>43987</v>
      </c>
      <c r="Q306" s="5" t="s">
        <v>31</v>
      </c>
      <c r="R306" s="5" t="s">
        <v>32</v>
      </c>
      <c r="S306" s="5" t="s">
        <v>33</v>
      </c>
      <c r="T306" s="5"/>
      <c r="U306" s="7">
        <v>1330.3</v>
      </c>
      <c r="V306" s="5">
        <v>573.63</v>
      </c>
      <c r="W306" s="5">
        <v>529.73</v>
      </c>
      <c r="X306" s="5">
        <v>0</v>
      </c>
      <c r="Y306" s="5">
        <v>226.94</v>
      </c>
    </row>
    <row r="307" spans="1:25" ht="24.75" x14ac:dyDescent="0.25">
      <c r="A307" s="5" t="s">
        <v>26</v>
      </c>
      <c r="B307" s="5" t="s">
        <v>38</v>
      </c>
      <c r="C307" s="5" t="s">
        <v>49</v>
      </c>
      <c r="D307" s="5" t="s">
        <v>50</v>
      </c>
      <c r="E307" s="5" t="s">
        <v>46</v>
      </c>
      <c r="F307" s="5" t="s">
        <v>376</v>
      </c>
      <c r="G307" s="5">
        <v>2019</v>
      </c>
      <c r="H307" s="5" t="str">
        <f>CONCATENATE("94240010531")</f>
        <v>94240010531</v>
      </c>
      <c r="I307" s="5" t="s">
        <v>29</v>
      </c>
      <c r="J307" s="5" t="s">
        <v>30</v>
      </c>
      <c r="K307" s="5" t="str">
        <f>CONCATENATE("")</f>
        <v/>
      </c>
      <c r="L307" s="5" t="str">
        <f>CONCATENATE("11 11.1 4b")</f>
        <v>11 11.1 4b</v>
      </c>
      <c r="M307" s="5" t="str">
        <f>CONCATENATE("SREGZL51B45C886X")</f>
        <v>SREGZL51B45C886X</v>
      </c>
      <c r="N307" s="5" t="s">
        <v>377</v>
      </c>
      <c r="O307" s="5" t="s">
        <v>207</v>
      </c>
      <c r="P307" s="6">
        <v>43987</v>
      </c>
      <c r="Q307" s="5" t="s">
        <v>31</v>
      </c>
      <c r="R307" s="5" t="s">
        <v>32</v>
      </c>
      <c r="S307" s="5" t="s">
        <v>33</v>
      </c>
      <c r="T307" s="5"/>
      <c r="U307" s="5">
        <v>104.69</v>
      </c>
      <c r="V307" s="5">
        <v>45.14</v>
      </c>
      <c r="W307" s="5">
        <v>41.69</v>
      </c>
      <c r="X307" s="5">
        <v>0</v>
      </c>
      <c r="Y307" s="5">
        <v>17.86</v>
      </c>
    </row>
    <row r="308" spans="1:25" ht="24.75" x14ac:dyDescent="0.25">
      <c r="A308" s="5" t="s">
        <v>26</v>
      </c>
      <c r="B308" s="5" t="s">
        <v>38</v>
      </c>
      <c r="C308" s="5" t="s">
        <v>49</v>
      </c>
      <c r="D308" s="5" t="s">
        <v>58</v>
      </c>
      <c r="E308" s="5" t="s">
        <v>35</v>
      </c>
      <c r="F308" s="5" t="s">
        <v>91</v>
      </c>
      <c r="G308" s="5">
        <v>2019</v>
      </c>
      <c r="H308" s="5" t="str">
        <f>CONCATENATE("94240642028")</f>
        <v>94240642028</v>
      </c>
      <c r="I308" s="5" t="s">
        <v>29</v>
      </c>
      <c r="J308" s="5" t="s">
        <v>30</v>
      </c>
      <c r="K308" s="5" t="str">
        <f>CONCATENATE("")</f>
        <v/>
      </c>
      <c r="L308" s="5" t="str">
        <f>CONCATENATE("11 11.2 4b")</f>
        <v>11 11.2 4b</v>
      </c>
      <c r="M308" s="5" t="str">
        <f>CONCATENATE("CHRPFR67M24F979O")</f>
        <v>CHRPFR67M24F979O</v>
      </c>
      <c r="N308" s="5" t="s">
        <v>378</v>
      </c>
      <c r="O308" s="5" t="s">
        <v>207</v>
      </c>
      <c r="P308" s="6">
        <v>43987</v>
      </c>
      <c r="Q308" s="5" t="s">
        <v>31</v>
      </c>
      <c r="R308" s="5" t="s">
        <v>32</v>
      </c>
      <c r="S308" s="5" t="s">
        <v>33</v>
      </c>
      <c r="T308" s="5"/>
      <c r="U308" s="5">
        <v>128.56</v>
      </c>
      <c r="V308" s="5">
        <v>55.44</v>
      </c>
      <c r="W308" s="5">
        <v>51.19</v>
      </c>
      <c r="X308" s="5">
        <v>0</v>
      </c>
      <c r="Y308" s="5">
        <v>21.93</v>
      </c>
    </row>
    <row r="309" spans="1:25" ht="24.75" x14ac:dyDescent="0.25">
      <c r="A309" s="5" t="s">
        <v>26</v>
      </c>
      <c r="B309" s="5" t="s">
        <v>38</v>
      </c>
      <c r="C309" s="5" t="s">
        <v>49</v>
      </c>
      <c r="D309" s="5" t="s">
        <v>54</v>
      </c>
      <c r="E309" s="5" t="s">
        <v>34</v>
      </c>
      <c r="F309" s="5" t="s">
        <v>328</v>
      </c>
      <c r="G309" s="5">
        <v>2019</v>
      </c>
      <c r="H309" s="5" t="str">
        <f>CONCATENATE("94240351091")</f>
        <v>94240351091</v>
      </c>
      <c r="I309" s="5" t="s">
        <v>29</v>
      </c>
      <c r="J309" s="5" t="s">
        <v>30</v>
      </c>
      <c r="K309" s="5" t="str">
        <f>CONCATENATE("")</f>
        <v/>
      </c>
      <c r="L309" s="5" t="str">
        <f>CONCATENATE("11 11.2 4b")</f>
        <v>11 11.2 4b</v>
      </c>
      <c r="M309" s="5" t="str">
        <f>CONCATENATE("PTRGZN57T29A366B")</f>
        <v>PTRGZN57T29A366B</v>
      </c>
      <c r="N309" s="5" t="s">
        <v>379</v>
      </c>
      <c r="O309" s="5" t="s">
        <v>207</v>
      </c>
      <c r="P309" s="6">
        <v>43987</v>
      </c>
      <c r="Q309" s="5" t="s">
        <v>31</v>
      </c>
      <c r="R309" s="5" t="s">
        <v>32</v>
      </c>
      <c r="S309" s="5" t="s">
        <v>33</v>
      </c>
      <c r="T309" s="5"/>
      <c r="U309" s="7">
        <v>1586.99</v>
      </c>
      <c r="V309" s="5">
        <v>684.31</v>
      </c>
      <c r="W309" s="5">
        <v>631.94000000000005</v>
      </c>
      <c r="X309" s="5">
        <v>0</v>
      </c>
      <c r="Y309" s="5">
        <v>270.74</v>
      </c>
    </row>
    <row r="310" spans="1:25" ht="24.75" x14ac:dyDescent="0.25">
      <c r="A310" s="5" t="s">
        <v>26</v>
      </c>
      <c r="B310" s="5" t="s">
        <v>38</v>
      </c>
      <c r="C310" s="5" t="s">
        <v>49</v>
      </c>
      <c r="D310" s="5" t="s">
        <v>50</v>
      </c>
      <c r="E310" s="5" t="s">
        <v>39</v>
      </c>
      <c r="F310" s="5" t="s">
        <v>66</v>
      </c>
      <c r="G310" s="5">
        <v>2019</v>
      </c>
      <c r="H310" s="5" t="str">
        <f>CONCATENATE("94240875255")</f>
        <v>94240875255</v>
      </c>
      <c r="I310" s="5" t="s">
        <v>41</v>
      </c>
      <c r="J310" s="5" t="s">
        <v>30</v>
      </c>
      <c r="K310" s="5" t="str">
        <f>CONCATENATE("")</f>
        <v/>
      </c>
      <c r="L310" s="5" t="str">
        <f>CONCATENATE("11 11.2 4b")</f>
        <v>11 11.2 4b</v>
      </c>
      <c r="M310" s="5" t="str">
        <f>CONCATENATE("BTTDNC58D15F415Y")</f>
        <v>BTTDNC58D15F415Y</v>
      </c>
      <c r="N310" s="5" t="s">
        <v>380</v>
      </c>
      <c r="O310" s="5" t="s">
        <v>207</v>
      </c>
      <c r="P310" s="6">
        <v>43987</v>
      </c>
      <c r="Q310" s="5" t="s">
        <v>31</v>
      </c>
      <c r="R310" s="5" t="s">
        <v>32</v>
      </c>
      <c r="S310" s="5" t="s">
        <v>33</v>
      </c>
      <c r="T310" s="5"/>
      <c r="U310" s="5">
        <v>361.12</v>
      </c>
      <c r="V310" s="5">
        <v>155.71</v>
      </c>
      <c r="W310" s="5">
        <v>143.80000000000001</v>
      </c>
      <c r="X310" s="5">
        <v>0</v>
      </c>
      <c r="Y310" s="5">
        <v>61.61</v>
      </c>
    </row>
    <row r="311" spans="1:25" ht="24.75" x14ac:dyDescent="0.25">
      <c r="A311" s="5" t="s">
        <v>26</v>
      </c>
      <c r="B311" s="5" t="s">
        <v>38</v>
      </c>
      <c r="C311" s="5" t="s">
        <v>49</v>
      </c>
      <c r="D311" s="5" t="s">
        <v>50</v>
      </c>
      <c r="E311" s="5" t="s">
        <v>34</v>
      </c>
      <c r="F311" s="5" t="s">
        <v>245</v>
      </c>
      <c r="G311" s="5">
        <v>2019</v>
      </c>
      <c r="H311" s="5" t="str">
        <f>CONCATENATE("94240031230")</f>
        <v>94240031230</v>
      </c>
      <c r="I311" s="5" t="s">
        <v>29</v>
      </c>
      <c r="J311" s="5" t="s">
        <v>30</v>
      </c>
      <c r="K311" s="5" t="str">
        <f>CONCATENATE("")</f>
        <v/>
      </c>
      <c r="L311" s="5" t="str">
        <f>CONCATENATE("11 11.2 4b")</f>
        <v>11 11.2 4b</v>
      </c>
      <c r="M311" s="5" t="str">
        <f>CONCATENATE("CTLRSL65L44D096D")</f>
        <v>CTLRSL65L44D096D</v>
      </c>
      <c r="N311" s="5" t="s">
        <v>381</v>
      </c>
      <c r="O311" s="5" t="s">
        <v>207</v>
      </c>
      <c r="P311" s="6">
        <v>43987</v>
      </c>
      <c r="Q311" s="5" t="s">
        <v>31</v>
      </c>
      <c r="R311" s="5" t="s">
        <v>32</v>
      </c>
      <c r="S311" s="5" t="s">
        <v>33</v>
      </c>
      <c r="T311" s="5"/>
      <c r="U311" s="5">
        <v>411.71</v>
      </c>
      <c r="V311" s="5">
        <v>177.53</v>
      </c>
      <c r="W311" s="5">
        <v>163.94</v>
      </c>
      <c r="X311" s="5">
        <v>0</v>
      </c>
      <c r="Y311" s="5">
        <v>70.239999999999995</v>
      </c>
    </row>
    <row r="312" spans="1:25" ht="24.75" x14ac:dyDescent="0.25">
      <c r="A312" s="5" t="s">
        <v>26</v>
      </c>
      <c r="B312" s="5" t="s">
        <v>38</v>
      </c>
      <c r="C312" s="5" t="s">
        <v>49</v>
      </c>
      <c r="D312" s="5" t="s">
        <v>50</v>
      </c>
      <c r="E312" s="5" t="s">
        <v>39</v>
      </c>
      <c r="F312" s="5" t="s">
        <v>382</v>
      </c>
      <c r="G312" s="5">
        <v>2019</v>
      </c>
      <c r="H312" s="5" t="str">
        <f>CONCATENATE("94240318553")</f>
        <v>94240318553</v>
      </c>
      <c r="I312" s="5" t="s">
        <v>41</v>
      </c>
      <c r="J312" s="5" t="s">
        <v>30</v>
      </c>
      <c r="K312" s="5" t="str">
        <f>CONCATENATE("")</f>
        <v/>
      </c>
      <c r="L312" s="5" t="str">
        <f>CONCATENATE("11 11.2 4b")</f>
        <v>11 11.2 4b</v>
      </c>
      <c r="M312" s="5" t="str">
        <f>CONCATENATE("PLLGPP53R02F536D")</f>
        <v>PLLGPP53R02F536D</v>
      </c>
      <c r="N312" s="5" t="s">
        <v>383</v>
      </c>
      <c r="O312" s="5" t="s">
        <v>207</v>
      </c>
      <c r="P312" s="6">
        <v>43987</v>
      </c>
      <c r="Q312" s="5" t="s">
        <v>31</v>
      </c>
      <c r="R312" s="5" t="s">
        <v>32</v>
      </c>
      <c r="S312" s="5" t="s">
        <v>33</v>
      </c>
      <c r="T312" s="5"/>
      <c r="U312" s="5">
        <v>987.99</v>
      </c>
      <c r="V312" s="5">
        <v>426.02</v>
      </c>
      <c r="W312" s="5">
        <v>393.42</v>
      </c>
      <c r="X312" s="5">
        <v>0</v>
      </c>
      <c r="Y312" s="5">
        <v>168.55</v>
      </c>
    </row>
    <row r="313" spans="1:25" ht="24.75" x14ac:dyDescent="0.25">
      <c r="A313" s="5" t="s">
        <v>26</v>
      </c>
      <c r="B313" s="5" t="s">
        <v>38</v>
      </c>
      <c r="C313" s="5" t="s">
        <v>49</v>
      </c>
      <c r="D313" s="5" t="s">
        <v>50</v>
      </c>
      <c r="E313" s="5" t="s">
        <v>45</v>
      </c>
      <c r="F313" s="5" t="s">
        <v>62</v>
      </c>
      <c r="G313" s="5">
        <v>2019</v>
      </c>
      <c r="H313" s="5" t="str">
        <f>CONCATENATE("94240128036")</f>
        <v>94240128036</v>
      </c>
      <c r="I313" s="5" t="s">
        <v>41</v>
      </c>
      <c r="J313" s="5" t="s">
        <v>30</v>
      </c>
      <c r="K313" s="5" t="str">
        <f>CONCATENATE("")</f>
        <v/>
      </c>
      <c r="L313" s="5" t="str">
        <f>CONCATENATE("11 11.1 4b")</f>
        <v>11 11.1 4b</v>
      </c>
      <c r="M313" s="5" t="str">
        <f>CONCATENATE("FTTLCU47M60L781D")</f>
        <v>FTTLCU47M60L781D</v>
      </c>
      <c r="N313" s="5" t="s">
        <v>384</v>
      </c>
      <c r="O313" s="5" t="s">
        <v>207</v>
      </c>
      <c r="P313" s="6">
        <v>43987</v>
      </c>
      <c r="Q313" s="5" t="s">
        <v>31</v>
      </c>
      <c r="R313" s="5" t="s">
        <v>32</v>
      </c>
      <c r="S313" s="5" t="s">
        <v>33</v>
      </c>
      <c r="T313" s="5"/>
      <c r="U313" s="5">
        <v>195.56</v>
      </c>
      <c r="V313" s="5">
        <v>84.33</v>
      </c>
      <c r="W313" s="5">
        <v>77.87</v>
      </c>
      <c r="X313" s="5">
        <v>0</v>
      </c>
      <c r="Y313" s="5">
        <v>33.36</v>
      </c>
    </row>
    <row r="314" spans="1:25" ht="24.75" x14ac:dyDescent="0.25">
      <c r="A314" s="5" t="s">
        <v>26</v>
      </c>
      <c r="B314" s="5" t="s">
        <v>38</v>
      </c>
      <c r="C314" s="5" t="s">
        <v>49</v>
      </c>
      <c r="D314" s="5" t="s">
        <v>50</v>
      </c>
      <c r="E314" s="5" t="s">
        <v>39</v>
      </c>
      <c r="F314" s="5" t="s">
        <v>283</v>
      </c>
      <c r="G314" s="5">
        <v>2019</v>
      </c>
      <c r="H314" s="5" t="str">
        <f>CONCATENATE("94240652068")</f>
        <v>94240652068</v>
      </c>
      <c r="I314" s="5" t="s">
        <v>29</v>
      </c>
      <c r="J314" s="5" t="s">
        <v>30</v>
      </c>
      <c r="K314" s="5" t="str">
        <f>CONCATENATE("")</f>
        <v/>
      </c>
      <c r="L314" s="5" t="str">
        <f>CONCATENATE("11 11.1 4b")</f>
        <v>11 11.1 4b</v>
      </c>
      <c r="M314" s="5" t="str">
        <f>CONCATENATE("DLTRRT76D19I324Y")</f>
        <v>DLTRRT76D19I324Y</v>
      </c>
      <c r="N314" s="5" t="s">
        <v>385</v>
      </c>
      <c r="O314" s="5" t="s">
        <v>207</v>
      </c>
      <c r="P314" s="6">
        <v>43987</v>
      </c>
      <c r="Q314" s="5" t="s">
        <v>31</v>
      </c>
      <c r="R314" s="5" t="s">
        <v>32</v>
      </c>
      <c r="S314" s="5" t="s">
        <v>33</v>
      </c>
      <c r="T314" s="5"/>
      <c r="U314" s="7">
        <v>2083.66</v>
      </c>
      <c r="V314" s="5">
        <v>898.47</v>
      </c>
      <c r="W314" s="5">
        <v>829.71</v>
      </c>
      <c r="X314" s="5">
        <v>0</v>
      </c>
      <c r="Y314" s="5">
        <v>355.48</v>
      </c>
    </row>
    <row r="315" spans="1:25" ht="24.75" x14ac:dyDescent="0.25">
      <c r="A315" s="5" t="s">
        <v>26</v>
      </c>
      <c r="B315" s="5" t="s">
        <v>38</v>
      </c>
      <c r="C315" s="5" t="s">
        <v>49</v>
      </c>
      <c r="D315" s="5" t="s">
        <v>50</v>
      </c>
      <c r="E315" s="5" t="s">
        <v>44</v>
      </c>
      <c r="F315" s="5" t="s">
        <v>205</v>
      </c>
      <c r="G315" s="5">
        <v>2019</v>
      </c>
      <c r="H315" s="5" t="str">
        <f>CONCATENATE("94241024325")</f>
        <v>94241024325</v>
      </c>
      <c r="I315" s="5" t="s">
        <v>29</v>
      </c>
      <c r="J315" s="5" t="s">
        <v>30</v>
      </c>
      <c r="K315" s="5" t="str">
        <f>CONCATENATE("")</f>
        <v/>
      </c>
      <c r="L315" s="5" t="str">
        <f>CONCATENATE("11 11.2 4b")</f>
        <v>11 11.2 4b</v>
      </c>
      <c r="M315" s="5" t="str">
        <f>CONCATENATE("PNNGPP52C13F415M")</f>
        <v>PNNGPP52C13F415M</v>
      </c>
      <c r="N315" s="5" t="s">
        <v>386</v>
      </c>
      <c r="O315" s="5" t="s">
        <v>207</v>
      </c>
      <c r="P315" s="6">
        <v>43987</v>
      </c>
      <c r="Q315" s="5" t="s">
        <v>31</v>
      </c>
      <c r="R315" s="5" t="s">
        <v>32</v>
      </c>
      <c r="S315" s="5" t="s">
        <v>33</v>
      </c>
      <c r="T315" s="5"/>
      <c r="U315" s="5">
        <v>240.94</v>
      </c>
      <c r="V315" s="5">
        <v>103.89</v>
      </c>
      <c r="W315" s="5">
        <v>95.94</v>
      </c>
      <c r="X315" s="5">
        <v>0</v>
      </c>
      <c r="Y315" s="5">
        <v>41.11</v>
      </c>
    </row>
    <row r="316" spans="1:25" ht="24.75" x14ac:dyDescent="0.25">
      <c r="A316" s="5" t="s">
        <v>26</v>
      </c>
      <c r="B316" s="5" t="s">
        <v>38</v>
      </c>
      <c r="C316" s="5" t="s">
        <v>49</v>
      </c>
      <c r="D316" s="5" t="s">
        <v>58</v>
      </c>
      <c r="E316" s="5" t="s">
        <v>39</v>
      </c>
      <c r="F316" s="5" t="s">
        <v>69</v>
      </c>
      <c r="G316" s="5">
        <v>2019</v>
      </c>
      <c r="H316" s="5" t="str">
        <f>CONCATENATE("94241021081")</f>
        <v>94241021081</v>
      </c>
      <c r="I316" s="5" t="s">
        <v>29</v>
      </c>
      <c r="J316" s="5" t="s">
        <v>30</v>
      </c>
      <c r="K316" s="5" t="str">
        <f>CONCATENATE("")</f>
        <v/>
      </c>
      <c r="L316" s="5" t="str">
        <f>CONCATENATE("11 11.2 4b")</f>
        <v>11 11.2 4b</v>
      </c>
      <c r="M316" s="5" t="str">
        <f>CONCATENATE("02334930415")</f>
        <v>02334930415</v>
      </c>
      <c r="N316" s="5" t="s">
        <v>387</v>
      </c>
      <c r="O316" s="5" t="s">
        <v>207</v>
      </c>
      <c r="P316" s="6">
        <v>43987</v>
      </c>
      <c r="Q316" s="5" t="s">
        <v>31</v>
      </c>
      <c r="R316" s="5" t="s">
        <v>32</v>
      </c>
      <c r="S316" s="5" t="s">
        <v>33</v>
      </c>
      <c r="T316" s="5"/>
      <c r="U316" s="7">
        <v>13364</v>
      </c>
      <c r="V316" s="7">
        <v>5762.56</v>
      </c>
      <c r="W316" s="7">
        <v>5321.54</v>
      </c>
      <c r="X316" s="5">
        <v>0</v>
      </c>
      <c r="Y316" s="7">
        <v>2279.9</v>
      </c>
    </row>
    <row r="317" spans="1:25" ht="24.75" x14ac:dyDescent="0.25">
      <c r="A317" s="5" t="s">
        <v>26</v>
      </c>
      <c r="B317" s="5" t="s">
        <v>38</v>
      </c>
      <c r="C317" s="5" t="s">
        <v>49</v>
      </c>
      <c r="D317" s="5" t="s">
        <v>58</v>
      </c>
      <c r="E317" s="5" t="s">
        <v>35</v>
      </c>
      <c r="F317" s="5" t="s">
        <v>350</v>
      </c>
      <c r="G317" s="5">
        <v>2019</v>
      </c>
      <c r="H317" s="5" t="str">
        <f>CONCATENATE("94240073109")</f>
        <v>94240073109</v>
      </c>
      <c r="I317" s="5" t="s">
        <v>29</v>
      </c>
      <c r="J317" s="5" t="s">
        <v>30</v>
      </c>
      <c r="K317" s="5" t="str">
        <f>CONCATENATE("")</f>
        <v/>
      </c>
      <c r="L317" s="5" t="str">
        <f>CONCATENATE("11 11.2 4b")</f>
        <v>11 11.2 4b</v>
      </c>
      <c r="M317" s="5" t="str">
        <f>CONCATENATE("BSTLSU64E56G479K")</f>
        <v>BSTLSU64E56G479K</v>
      </c>
      <c r="N317" s="5" t="s">
        <v>388</v>
      </c>
      <c r="O317" s="5" t="s">
        <v>207</v>
      </c>
      <c r="P317" s="6">
        <v>43987</v>
      </c>
      <c r="Q317" s="5" t="s">
        <v>31</v>
      </c>
      <c r="R317" s="5" t="s">
        <v>32</v>
      </c>
      <c r="S317" s="5" t="s">
        <v>33</v>
      </c>
      <c r="T317" s="5"/>
      <c r="U317" s="7">
        <v>2150.64</v>
      </c>
      <c r="V317" s="5">
        <v>927.36</v>
      </c>
      <c r="W317" s="5">
        <v>856.38</v>
      </c>
      <c r="X317" s="5">
        <v>0</v>
      </c>
      <c r="Y317" s="5">
        <v>366.9</v>
      </c>
    </row>
    <row r="318" spans="1:25" ht="24.75" x14ac:dyDescent="0.25">
      <c r="A318" s="5" t="s">
        <v>26</v>
      </c>
      <c r="B318" s="5" t="s">
        <v>38</v>
      </c>
      <c r="C318" s="5" t="s">
        <v>49</v>
      </c>
      <c r="D318" s="5" t="s">
        <v>54</v>
      </c>
      <c r="E318" s="5" t="s">
        <v>34</v>
      </c>
      <c r="F318" s="5" t="s">
        <v>389</v>
      </c>
      <c r="G318" s="5">
        <v>2018</v>
      </c>
      <c r="H318" s="5" t="str">
        <f>CONCATENATE("84780039222")</f>
        <v>84780039222</v>
      </c>
      <c r="I318" s="5" t="s">
        <v>29</v>
      </c>
      <c r="J318" s="5" t="s">
        <v>47</v>
      </c>
      <c r="K318" s="5" t="str">
        <f>CONCATENATE("221")</f>
        <v>221</v>
      </c>
      <c r="L318" s="5" t="str">
        <f>CONCATENATE("8 8.1 5e")</f>
        <v>8 8.1 5e</v>
      </c>
      <c r="M318" s="5" t="str">
        <f>CONCATENATE("NMDLCU53D50A271M")</f>
        <v>NMDLCU53D50A271M</v>
      </c>
      <c r="N318" s="5" t="s">
        <v>390</v>
      </c>
      <c r="O318" s="5" t="s">
        <v>391</v>
      </c>
      <c r="P318" s="6">
        <v>43987</v>
      </c>
      <c r="Q318" s="5" t="s">
        <v>31</v>
      </c>
      <c r="R318" s="5" t="s">
        <v>32</v>
      </c>
      <c r="S318" s="5" t="s">
        <v>33</v>
      </c>
      <c r="T318" s="5"/>
      <c r="U318" s="5">
        <v>166.61</v>
      </c>
      <c r="V318" s="5">
        <v>71.84</v>
      </c>
      <c r="W318" s="5">
        <v>66.34</v>
      </c>
      <c r="X318" s="5">
        <v>0</v>
      </c>
      <c r="Y318" s="5">
        <v>28.43</v>
      </c>
    </row>
    <row r="319" spans="1:25" ht="24.75" x14ac:dyDescent="0.25">
      <c r="A319" s="5" t="s">
        <v>26</v>
      </c>
      <c r="B319" s="5" t="s">
        <v>38</v>
      </c>
      <c r="C319" s="5" t="s">
        <v>49</v>
      </c>
      <c r="D319" s="5" t="s">
        <v>54</v>
      </c>
      <c r="E319" s="5" t="s">
        <v>45</v>
      </c>
      <c r="F319" s="5" t="s">
        <v>125</v>
      </c>
      <c r="G319" s="5">
        <v>2018</v>
      </c>
      <c r="H319" s="5" t="str">
        <f>CONCATENATE("84780029165")</f>
        <v>84780029165</v>
      </c>
      <c r="I319" s="5" t="s">
        <v>29</v>
      </c>
      <c r="J319" s="5" t="s">
        <v>47</v>
      </c>
      <c r="K319" s="5" t="str">
        <f>CONCATENATE("221")</f>
        <v>221</v>
      </c>
      <c r="L319" s="5" t="str">
        <f>CONCATENATE("8 8.1 5e")</f>
        <v>8 8.1 5e</v>
      </c>
      <c r="M319" s="5" t="str">
        <f>CONCATENATE("FRRFNC62C10E388X")</f>
        <v>FRRFNC62C10E388X</v>
      </c>
      <c r="N319" s="5" t="s">
        <v>392</v>
      </c>
      <c r="O319" s="5" t="s">
        <v>391</v>
      </c>
      <c r="P319" s="6">
        <v>43987</v>
      </c>
      <c r="Q319" s="5" t="s">
        <v>31</v>
      </c>
      <c r="R319" s="5" t="s">
        <v>32</v>
      </c>
      <c r="S319" s="5" t="s">
        <v>33</v>
      </c>
      <c r="T319" s="5"/>
      <c r="U319" s="5">
        <v>816.5</v>
      </c>
      <c r="V319" s="5">
        <v>352.07</v>
      </c>
      <c r="W319" s="5">
        <v>325.13</v>
      </c>
      <c r="X319" s="5">
        <v>0</v>
      </c>
      <c r="Y319" s="5">
        <v>139.30000000000001</v>
      </c>
    </row>
    <row r="320" spans="1:25" ht="24.75" x14ac:dyDescent="0.25">
      <c r="A320" s="5" t="s">
        <v>26</v>
      </c>
      <c r="B320" s="5" t="s">
        <v>38</v>
      </c>
      <c r="C320" s="5" t="s">
        <v>49</v>
      </c>
      <c r="D320" s="5" t="s">
        <v>58</v>
      </c>
      <c r="E320" s="5" t="s">
        <v>45</v>
      </c>
      <c r="F320" s="5" t="s">
        <v>393</v>
      </c>
      <c r="G320" s="5">
        <v>2018</v>
      </c>
      <c r="H320" s="5" t="str">
        <f>CONCATENATE("84780067991")</f>
        <v>84780067991</v>
      </c>
      <c r="I320" s="5" t="s">
        <v>29</v>
      </c>
      <c r="J320" s="5" t="s">
        <v>47</v>
      </c>
      <c r="K320" s="5" t="str">
        <f>CONCATENATE("221")</f>
        <v>221</v>
      </c>
      <c r="L320" s="5" t="str">
        <f>CONCATENATE("8 8.1 5e")</f>
        <v>8 8.1 5e</v>
      </c>
      <c r="M320" s="5" t="str">
        <f>CONCATENATE("03473720401")</f>
        <v>03473720401</v>
      </c>
      <c r="N320" s="5" t="s">
        <v>394</v>
      </c>
      <c r="O320" s="5" t="s">
        <v>391</v>
      </c>
      <c r="P320" s="6">
        <v>43987</v>
      </c>
      <c r="Q320" s="5" t="s">
        <v>31</v>
      </c>
      <c r="R320" s="5" t="s">
        <v>32</v>
      </c>
      <c r="S320" s="5" t="s">
        <v>33</v>
      </c>
      <c r="T320" s="5"/>
      <c r="U320" s="7">
        <v>1378.17</v>
      </c>
      <c r="V320" s="5">
        <v>594.27</v>
      </c>
      <c r="W320" s="5">
        <v>548.79</v>
      </c>
      <c r="X320" s="5">
        <v>0</v>
      </c>
      <c r="Y320" s="5">
        <v>235.11</v>
      </c>
    </row>
    <row r="321" spans="1:25" x14ac:dyDescent="0.25">
      <c r="A321" s="5" t="s">
        <v>26</v>
      </c>
      <c r="B321" s="5" t="s">
        <v>38</v>
      </c>
      <c r="C321" s="5" t="s">
        <v>49</v>
      </c>
      <c r="D321" s="5" t="s">
        <v>87</v>
      </c>
      <c r="E321" s="5" t="s">
        <v>39</v>
      </c>
      <c r="F321" s="5" t="s">
        <v>102</v>
      </c>
      <c r="G321" s="5">
        <v>2018</v>
      </c>
      <c r="H321" s="5" t="str">
        <f>CONCATENATE("84240713077")</f>
        <v>84240713077</v>
      </c>
      <c r="I321" s="5" t="s">
        <v>29</v>
      </c>
      <c r="J321" s="5" t="s">
        <v>30</v>
      </c>
      <c r="K321" s="5" t="str">
        <f>CONCATENATE("")</f>
        <v/>
      </c>
      <c r="L321" s="5" t="str">
        <f>CONCATENATE("10 10.1 4a")</f>
        <v>10 10.1 4a</v>
      </c>
      <c r="M321" s="5" t="str">
        <f>CONCATENATE("NBLCNZ73S59I156C")</f>
        <v>NBLCNZ73S59I156C</v>
      </c>
      <c r="N321" s="5" t="s">
        <v>395</v>
      </c>
      <c r="O321" s="5" t="s">
        <v>330</v>
      </c>
      <c r="P321" s="6">
        <v>43987</v>
      </c>
      <c r="Q321" s="5" t="s">
        <v>31</v>
      </c>
      <c r="R321" s="5" t="s">
        <v>32</v>
      </c>
      <c r="S321" s="5" t="s">
        <v>33</v>
      </c>
      <c r="T321" s="5"/>
      <c r="U321" s="5">
        <v>804.6</v>
      </c>
      <c r="V321" s="5">
        <v>346.94</v>
      </c>
      <c r="W321" s="5">
        <v>320.39</v>
      </c>
      <c r="X321" s="5">
        <v>0</v>
      </c>
      <c r="Y321" s="5">
        <v>137.27000000000001</v>
      </c>
    </row>
    <row r="322" spans="1:25" ht="24.75" x14ac:dyDescent="0.25">
      <c r="A322" s="5" t="s">
        <v>26</v>
      </c>
      <c r="B322" s="5" t="s">
        <v>38</v>
      </c>
      <c r="C322" s="5" t="s">
        <v>49</v>
      </c>
      <c r="D322" s="5" t="s">
        <v>54</v>
      </c>
      <c r="E322" s="5" t="s">
        <v>34</v>
      </c>
      <c r="F322" s="5" t="s">
        <v>203</v>
      </c>
      <c r="G322" s="5">
        <v>2019</v>
      </c>
      <c r="H322" s="5" t="str">
        <f>CONCATENATE("94240434145")</f>
        <v>94240434145</v>
      </c>
      <c r="I322" s="5" t="s">
        <v>29</v>
      </c>
      <c r="J322" s="5" t="s">
        <v>30</v>
      </c>
      <c r="K322" s="5" t="str">
        <f>CONCATENATE("")</f>
        <v/>
      </c>
      <c r="L322" s="5" t="str">
        <f>CONCATENATE("10 10.1 4a")</f>
        <v>10 10.1 4a</v>
      </c>
      <c r="M322" s="5" t="str">
        <f>CONCATENATE("02705660427")</f>
        <v>02705660427</v>
      </c>
      <c r="N322" s="5" t="s">
        <v>396</v>
      </c>
      <c r="O322" s="5" t="s">
        <v>330</v>
      </c>
      <c r="P322" s="6">
        <v>43987</v>
      </c>
      <c r="Q322" s="5" t="s">
        <v>31</v>
      </c>
      <c r="R322" s="5" t="s">
        <v>32</v>
      </c>
      <c r="S322" s="5" t="s">
        <v>33</v>
      </c>
      <c r="T322" s="5"/>
      <c r="U322" s="5">
        <v>544.6</v>
      </c>
      <c r="V322" s="5">
        <v>234.83</v>
      </c>
      <c r="W322" s="5">
        <v>216.86</v>
      </c>
      <c r="X322" s="5">
        <v>0</v>
      </c>
      <c r="Y322" s="5">
        <v>92.91</v>
      </c>
    </row>
    <row r="323" spans="1:25" ht="24.75" x14ac:dyDescent="0.25">
      <c r="A323" s="5" t="s">
        <v>26</v>
      </c>
      <c r="B323" s="5" t="s">
        <v>38</v>
      </c>
      <c r="C323" s="5" t="s">
        <v>49</v>
      </c>
      <c r="D323" s="5" t="s">
        <v>54</v>
      </c>
      <c r="E323" s="5" t="s">
        <v>43</v>
      </c>
      <c r="F323" s="5" t="s">
        <v>397</v>
      </c>
      <c r="G323" s="5">
        <v>2019</v>
      </c>
      <c r="H323" s="5" t="str">
        <f>CONCATENATE("94240592074")</f>
        <v>94240592074</v>
      </c>
      <c r="I323" s="5" t="s">
        <v>29</v>
      </c>
      <c r="J323" s="5" t="s">
        <v>30</v>
      </c>
      <c r="K323" s="5" t="str">
        <f>CONCATENATE("")</f>
        <v/>
      </c>
      <c r="L323" s="5" t="str">
        <f>CONCATENATE("10 10.1 4a")</f>
        <v>10 10.1 4a</v>
      </c>
      <c r="M323" s="5" t="str">
        <f>CONCATENATE("BROFNC84B10C615H")</f>
        <v>BROFNC84B10C615H</v>
      </c>
      <c r="N323" s="5" t="s">
        <v>398</v>
      </c>
      <c r="O323" s="5" t="s">
        <v>330</v>
      </c>
      <c r="P323" s="6">
        <v>43987</v>
      </c>
      <c r="Q323" s="5" t="s">
        <v>31</v>
      </c>
      <c r="R323" s="5" t="s">
        <v>32</v>
      </c>
      <c r="S323" s="5" t="s">
        <v>33</v>
      </c>
      <c r="T323" s="5"/>
      <c r="U323" s="7">
        <v>1882.6</v>
      </c>
      <c r="V323" s="5">
        <v>811.78</v>
      </c>
      <c r="W323" s="5">
        <v>749.65</v>
      </c>
      <c r="X323" s="5">
        <v>0</v>
      </c>
      <c r="Y323" s="5">
        <v>321.17</v>
      </c>
    </row>
    <row r="324" spans="1:25" ht="24.75" x14ac:dyDescent="0.25">
      <c r="A324" s="5" t="s">
        <v>26</v>
      </c>
      <c r="B324" s="5" t="s">
        <v>38</v>
      </c>
      <c r="C324" s="5" t="s">
        <v>49</v>
      </c>
      <c r="D324" s="5" t="s">
        <v>54</v>
      </c>
      <c r="E324" s="5" t="s">
        <v>34</v>
      </c>
      <c r="F324" s="5" t="s">
        <v>203</v>
      </c>
      <c r="G324" s="5">
        <v>2018</v>
      </c>
      <c r="H324" s="5" t="str">
        <f>CONCATENATE("84240886139")</f>
        <v>84240886139</v>
      </c>
      <c r="I324" s="5" t="s">
        <v>29</v>
      </c>
      <c r="J324" s="5" t="s">
        <v>30</v>
      </c>
      <c r="K324" s="5" t="str">
        <f>CONCATENATE("")</f>
        <v/>
      </c>
      <c r="L324" s="5" t="str">
        <f>CONCATENATE("10 10.1 4a")</f>
        <v>10 10.1 4a</v>
      </c>
      <c r="M324" s="5" t="str">
        <f>CONCATENATE("FDRBNR58P20E388X")</f>
        <v>FDRBNR58P20E388X</v>
      </c>
      <c r="N324" s="5" t="s">
        <v>399</v>
      </c>
      <c r="O324" s="5" t="s">
        <v>330</v>
      </c>
      <c r="P324" s="6">
        <v>43987</v>
      </c>
      <c r="Q324" s="5" t="s">
        <v>31</v>
      </c>
      <c r="R324" s="5" t="s">
        <v>32</v>
      </c>
      <c r="S324" s="5" t="s">
        <v>33</v>
      </c>
      <c r="T324" s="5"/>
      <c r="U324" s="5">
        <v>288.60000000000002</v>
      </c>
      <c r="V324" s="5">
        <v>124.44</v>
      </c>
      <c r="W324" s="5">
        <v>114.92</v>
      </c>
      <c r="X324" s="5">
        <v>0</v>
      </c>
      <c r="Y324" s="5">
        <v>49.24</v>
      </c>
    </row>
    <row r="325" spans="1:25" ht="24.75" x14ac:dyDescent="0.25">
      <c r="A325" s="5" t="s">
        <v>26</v>
      </c>
      <c r="B325" s="5" t="s">
        <v>38</v>
      </c>
      <c r="C325" s="5" t="s">
        <v>49</v>
      </c>
      <c r="D325" s="5" t="s">
        <v>54</v>
      </c>
      <c r="E325" s="5" t="s">
        <v>34</v>
      </c>
      <c r="F325" s="5" t="s">
        <v>203</v>
      </c>
      <c r="G325" s="5">
        <v>2019</v>
      </c>
      <c r="H325" s="5" t="str">
        <f>CONCATENATE("94240434277")</f>
        <v>94240434277</v>
      </c>
      <c r="I325" s="5" t="s">
        <v>29</v>
      </c>
      <c r="J325" s="5" t="s">
        <v>30</v>
      </c>
      <c r="K325" s="5" t="str">
        <f>CONCATENATE("")</f>
        <v/>
      </c>
      <c r="L325" s="5" t="str">
        <f>CONCATENATE("10 10.1 4a")</f>
        <v>10 10.1 4a</v>
      </c>
      <c r="M325" s="5" t="str">
        <f>CONCATENATE("02745870424")</f>
        <v>02745870424</v>
      </c>
      <c r="N325" s="5" t="s">
        <v>400</v>
      </c>
      <c r="O325" s="5" t="s">
        <v>330</v>
      </c>
      <c r="P325" s="6">
        <v>43987</v>
      </c>
      <c r="Q325" s="5" t="s">
        <v>31</v>
      </c>
      <c r="R325" s="5" t="s">
        <v>32</v>
      </c>
      <c r="S325" s="5" t="s">
        <v>33</v>
      </c>
      <c r="T325" s="5"/>
      <c r="U325" s="5">
        <v>592.44000000000005</v>
      </c>
      <c r="V325" s="5">
        <v>255.46</v>
      </c>
      <c r="W325" s="5">
        <v>235.91</v>
      </c>
      <c r="X325" s="5">
        <v>0</v>
      </c>
      <c r="Y325" s="5">
        <v>101.07</v>
      </c>
    </row>
    <row r="326" spans="1:25" ht="24.75" x14ac:dyDescent="0.25">
      <c r="A326" s="5" t="s">
        <v>26</v>
      </c>
      <c r="B326" s="5" t="s">
        <v>38</v>
      </c>
      <c r="C326" s="5" t="s">
        <v>49</v>
      </c>
      <c r="D326" s="5" t="s">
        <v>54</v>
      </c>
      <c r="E326" s="5" t="s">
        <v>34</v>
      </c>
      <c r="F326" s="5" t="s">
        <v>203</v>
      </c>
      <c r="G326" s="5">
        <v>2019</v>
      </c>
      <c r="H326" s="5" t="str">
        <f>CONCATENATE("94240427206")</f>
        <v>94240427206</v>
      </c>
      <c r="I326" s="5" t="s">
        <v>29</v>
      </c>
      <c r="J326" s="5" t="s">
        <v>30</v>
      </c>
      <c r="K326" s="5" t="str">
        <f>CONCATENATE("")</f>
        <v/>
      </c>
      <c r="L326" s="5" t="str">
        <f>CONCATENATE("10 10.1 4a")</f>
        <v>10 10.1 4a</v>
      </c>
      <c r="M326" s="5" t="str">
        <f>CONCATENATE("BTTNNA45L57D965T")</f>
        <v>BTTNNA45L57D965T</v>
      </c>
      <c r="N326" s="5" t="s">
        <v>401</v>
      </c>
      <c r="O326" s="5" t="s">
        <v>330</v>
      </c>
      <c r="P326" s="6">
        <v>43987</v>
      </c>
      <c r="Q326" s="5" t="s">
        <v>31</v>
      </c>
      <c r="R326" s="5" t="s">
        <v>32</v>
      </c>
      <c r="S326" s="5" t="s">
        <v>33</v>
      </c>
      <c r="T326" s="5"/>
      <c r="U326" s="5">
        <v>65.64</v>
      </c>
      <c r="V326" s="5">
        <v>28.3</v>
      </c>
      <c r="W326" s="5">
        <v>26.14</v>
      </c>
      <c r="X326" s="5">
        <v>0</v>
      </c>
      <c r="Y326" s="5">
        <v>11.2</v>
      </c>
    </row>
    <row r="327" spans="1:25" ht="24.75" x14ac:dyDescent="0.25">
      <c r="A327" s="5" t="s">
        <v>26</v>
      </c>
      <c r="B327" s="5" t="s">
        <v>38</v>
      </c>
      <c r="C327" s="5" t="s">
        <v>49</v>
      </c>
      <c r="D327" s="5" t="s">
        <v>54</v>
      </c>
      <c r="E327" s="5" t="s">
        <v>34</v>
      </c>
      <c r="F327" s="5" t="s">
        <v>389</v>
      </c>
      <c r="G327" s="5">
        <v>2019</v>
      </c>
      <c r="H327" s="5" t="str">
        <f>CONCATENATE("94240442908")</f>
        <v>94240442908</v>
      </c>
      <c r="I327" s="5" t="s">
        <v>29</v>
      </c>
      <c r="J327" s="5" t="s">
        <v>30</v>
      </c>
      <c r="K327" s="5" t="str">
        <f>CONCATENATE("")</f>
        <v/>
      </c>
      <c r="L327" s="5" t="str">
        <f>CONCATENATE("10 10.1 4a")</f>
        <v>10 10.1 4a</v>
      </c>
      <c r="M327" s="5" t="str">
        <f>CONCATENATE("DPPCST69H60E783M")</f>
        <v>DPPCST69H60E783M</v>
      </c>
      <c r="N327" s="5" t="s">
        <v>402</v>
      </c>
      <c r="O327" s="5" t="s">
        <v>330</v>
      </c>
      <c r="P327" s="6">
        <v>43987</v>
      </c>
      <c r="Q327" s="5" t="s">
        <v>31</v>
      </c>
      <c r="R327" s="5" t="s">
        <v>32</v>
      </c>
      <c r="S327" s="5" t="s">
        <v>33</v>
      </c>
      <c r="T327" s="5"/>
      <c r="U327" s="5">
        <v>901.64</v>
      </c>
      <c r="V327" s="5">
        <v>388.79</v>
      </c>
      <c r="W327" s="5">
        <v>359.03</v>
      </c>
      <c r="X327" s="5">
        <v>0</v>
      </c>
      <c r="Y327" s="5">
        <v>153.82</v>
      </c>
    </row>
    <row r="328" spans="1:25" ht="24.75" x14ac:dyDescent="0.25">
      <c r="A328" s="5" t="s">
        <v>26</v>
      </c>
      <c r="B328" s="5" t="s">
        <v>38</v>
      </c>
      <c r="C328" s="5" t="s">
        <v>49</v>
      </c>
      <c r="D328" s="5" t="s">
        <v>54</v>
      </c>
      <c r="E328" s="5" t="s">
        <v>34</v>
      </c>
      <c r="F328" s="5" t="s">
        <v>389</v>
      </c>
      <c r="G328" s="5">
        <v>2018</v>
      </c>
      <c r="H328" s="5" t="str">
        <f>CONCATENATE("84240736995")</f>
        <v>84240736995</v>
      </c>
      <c r="I328" s="5" t="s">
        <v>29</v>
      </c>
      <c r="J328" s="5" t="s">
        <v>30</v>
      </c>
      <c r="K328" s="5" t="str">
        <f>CONCATENATE("")</f>
        <v/>
      </c>
      <c r="L328" s="5" t="str">
        <f>CONCATENATE("10 10.1 4a")</f>
        <v>10 10.1 4a</v>
      </c>
      <c r="M328" s="5" t="str">
        <f>CONCATENATE("DPPCST69H60E783M")</f>
        <v>DPPCST69H60E783M</v>
      </c>
      <c r="N328" s="5" t="s">
        <v>402</v>
      </c>
      <c r="O328" s="5" t="s">
        <v>330</v>
      </c>
      <c r="P328" s="6">
        <v>43987</v>
      </c>
      <c r="Q328" s="5" t="s">
        <v>31</v>
      </c>
      <c r="R328" s="5" t="s">
        <v>32</v>
      </c>
      <c r="S328" s="5" t="s">
        <v>33</v>
      </c>
      <c r="T328" s="5"/>
      <c r="U328" s="5">
        <v>901.64</v>
      </c>
      <c r="V328" s="5">
        <v>388.79</v>
      </c>
      <c r="W328" s="5">
        <v>359.03</v>
      </c>
      <c r="X328" s="5">
        <v>0</v>
      </c>
      <c r="Y328" s="5">
        <v>153.82</v>
      </c>
    </row>
    <row r="329" spans="1:25" ht="24.75" x14ac:dyDescent="0.25">
      <c r="A329" s="5" t="s">
        <v>26</v>
      </c>
      <c r="B329" s="5" t="s">
        <v>38</v>
      </c>
      <c r="C329" s="5" t="s">
        <v>49</v>
      </c>
      <c r="D329" s="5" t="s">
        <v>54</v>
      </c>
      <c r="E329" s="5" t="s">
        <v>34</v>
      </c>
      <c r="F329" s="5" t="s">
        <v>389</v>
      </c>
      <c r="G329" s="5">
        <v>2019</v>
      </c>
      <c r="H329" s="5" t="str">
        <f>CONCATENATE("94240444896")</f>
        <v>94240444896</v>
      </c>
      <c r="I329" s="5" t="s">
        <v>29</v>
      </c>
      <c r="J329" s="5" t="s">
        <v>30</v>
      </c>
      <c r="K329" s="5" t="str">
        <f>CONCATENATE("")</f>
        <v/>
      </c>
      <c r="L329" s="5" t="str">
        <f>CONCATENATE("10 10.1 4a")</f>
        <v>10 10.1 4a</v>
      </c>
      <c r="M329" s="5" t="str">
        <f>CONCATENATE("02788490429")</f>
        <v>02788490429</v>
      </c>
      <c r="N329" s="5" t="s">
        <v>403</v>
      </c>
      <c r="O329" s="5" t="s">
        <v>330</v>
      </c>
      <c r="P329" s="6">
        <v>43987</v>
      </c>
      <c r="Q329" s="5" t="s">
        <v>31</v>
      </c>
      <c r="R329" s="5" t="s">
        <v>32</v>
      </c>
      <c r="S329" s="5" t="s">
        <v>33</v>
      </c>
      <c r="T329" s="5"/>
      <c r="U329" s="5">
        <v>800.62</v>
      </c>
      <c r="V329" s="5">
        <v>345.23</v>
      </c>
      <c r="W329" s="5">
        <v>318.81</v>
      </c>
      <c r="X329" s="5">
        <v>0</v>
      </c>
      <c r="Y329" s="5">
        <v>136.58000000000001</v>
      </c>
    </row>
    <row r="330" spans="1:25" ht="24.75" x14ac:dyDescent="0.25">
      <c r="A330" s="5" t="s">
        <v>26</v>
      </c>
      <c r="B330" s="5" t="s">
        <v>38</v>
      </c>
      <c r="C330" s="5" t="s">
        <v>49</v>
      </c>
      <c r="D330" s="5" t="s">
        <v>54</v>
      </c>
      <c r="E330" s="5" t="s">
        <v>34</v>
      </c>
      <c r="F330" s="5" t="s">
        <v>203</v>
      </c>
      <c r="G330" s="5">
        <v>2019</v>
      </c>
      <c r="H330" s="5" t="str">
        <f>CONCATENATE("94241017808")</f>
        <v>94241017808</v>
      </c>
      <c r="I330" s="5" t="s">
        <v>29</v>
      </c>
      <c r="J330" s="5" t="s">
        <v>30</v>
      </c>
      <c r="K330" s="5" t="str">
        <f>CONCATENATE("")</f>
        <v/>
      </c>
      <c r="L330" s="5" t="str">
        <f>CONCATENATE("10 10.1 4a")</f>
        <v>10 10.1 4a</v>
      </c>
      <c r="M330" s="5" t="str">
        <f>CONCATENATE("FTTPLA53A70A271Y")</f>
        <v>FTTPLA53A70A271Y</v>
      </c>
      <c r="N330" s="5" t="s">
        <v>404</v>
      </c>
      <c r="O330" s="5" t="s">
        <v>330</v>
      </c>
      <c r="P330" s="6">
        <v>43987</v>
      </c>
      <c r="Q330" s="5" t="s">
        <v>31</v>
      </c>
      <c r="R330" s="5" t="s">
        <v>32</v>
      </c>
      <c r="S330" s="5" t="s">
        <v>33</v>
      </c>
      <c r="T330" s="5"/>
      <c r="U330" s="7">
        <v>1614.72</v>
      </c>
      <c r="V330" s="5">
        <v>696.27</v>
      </c>
      <c r="W330" s="5">
        <v>642.98</v>
      </c>
      <c r="X330" s="5">
        <v>0</v>
      </c>
      <c r="Y330" s="5">
        <v>275.47000000000003</v>
      </c>
    </row>
    <row r="331" spans="1:25" ht="24.75" x14ac:dyDescent="0.25">
      <c r="A331" s="5" t="s">
        <v>26</v>
      </c>
      <c r="B331" s="5" t="s">
        <v>38</v>
      </c>
      <c r="C331" s="5" t="s">
        <v>49</v>
      </c>
      <c r="D331" s="5" t="s">
        <v>50</v>
      </c>
      <c r="E331" s="5" t="s">
        <v>39</v>
      </c>
      <c r="F331" s="5" t="s">
        <v>66</v>
      </c>
      <c r="G331" s="5">
        <v>2017</v>
      </c>
      <c r="H331" s="5" t="str">
        <f>CONCATENATE("74240596945")</f>
        <v>74240596945</v>
      </c>
      <c r="I331" s="5" t="s">
        <v>29</v>
      </c>
      <c r="J331" s="5" t="s">
        <v>30</v>
      </c>
      <c r="K331" s="5" t="str">
        <f>CONCATENATE("")</f>
        <v/>
      </c>
      <c r="L331" s="5" t="str">
        <f>CONCATENATE("10 10.1 4a")</f>
        <v>10 10.1 4a</v>
      </c>
      <c r="M331" s="5" t="str">
        <f>CONCATENATE("GMNLTZ98H57A271V")</f>
        <v>GMNLTZ98H57A271V</v>
      </c>
      <c r="N331" s="5" t="s">
        <v>405</v>
      </c>
      <c r="O331" s="5" t="s">
        <v>330</v>
      </c>
      <c r="P331" s="6">
        <v>43987</v>
      </c>
      <c r="Q331" s="5" t="s">
        <v>31</v>
      </c>
      <c r="R331" s="5" t="s">
        <v>32</v>
      </c>
      <c r="S331" s="5" t="s">
        <v>33</v>
      </c>
      <c r="T331" s="5"/>
      <c r="U331" s="5">
        <v>877.89</v>
      </c>
      <c r="V331" s="5">
        <v>378.55</v>
      </c>
      <c r="W331" s="5">
        <v>349.58</v>
      </c>
      <c r="X331" s="5">
        <v>0</v>
      </c>
      <c r="Y331" s="5">
        <v>149.76</v>
      </c>
    </row>
    <row r="332" spans="1:25" ht="24.75" x14ac:dyDescent="0.25">
      <c r="A332" s="5" t="s">
        <v>26</v>
      </c>
      <c r="B332" s="5" t="s">
        <v>38</v>
      </c>
      <c r="C332" s="5" t="s">
        <v>49</v>
      </c>
      <c r="D332" s="5" t="s">
        <v>54</v>
      </c>
      <c r="E332" s="5" t="s">
        <v>34</v>
      </c>
      <c r="F332" s="5" t="s">
        <v>203</v>
      </c>
      <c r="G332" s="5">
        <v>2018</v>
      </c>
      <c r="H332" s="5" t="str">
        <f>CONCATENATE("84240497069")</f>
        <v>84240497069</v>
      </c>
      <c r="I332" s="5" t="s">
        <v>29</v>
      </c>
      <c r="J332" s="5" t="s">
        <v>30</v>
      </c>
      <c r="K332" s="5" t="str">
        <f>CONCATENATE("")</f>
        <v/>
      </c>
      <c r="L332" s="5" t="str">
        <f>CONCATENATE("10 10.1 4a")</f>
        <v>10 10.1 4a</v>
      </c>
      <c r="M332" s="5" t="str">
        <f>CONCATENATE("00856440425")</f>
        <v>00856440425</v>
      </c>
      <c r="N332" s="5" t="s">
        <v>406</v>
      </c>
      <c r="O332" s="5" t="s">
        <v>330</v>
      </c>
      <c r="P332" s="6">
        <v>43987</v>
      </c>
      <c r="Q332" s="5" t="s">
        <v>31</v>
      </c>
      <c r="R332" s="5" t="s">
        <v>32</v>
      </c>
      <c r="S332" s="5" t="s">
        <v>33</v>
      </c>
      <c r="T332" s="5"/>
      <c r="U332" s="5">
        <v>180</v>
      </c>
      <c r="V332" s="5">
        <v>77.62</v>
      </c>
      <c r="W332" s="5">
        <v>71.680000000000007</v>
      </c>
      <c r="X332" s="5">
        <v>0</v>
      </c>
      <c r="Y332" s="5">
        <v>30.7</v>
      </c>
    </row>
    <row r="333" spans="1:25" ht="24.75" x14ac:dyDescent="0.25">
      <c r="A333" s="5" t="s">
        <v>26</v>
      </c>
      <c r="B333" s="5" t="s">
        <v>38</v>
      </c>
      <c r="C333" s="5" t="s">
        <v>49</v>
      </c>
      <c r="D333" s="5" t="s">
        <v>54</v>
      </c>
      <c r="E333" s="5" t="s">
        <v>34</v>
      </c>
      <c r="F333" s="5" t="s">
        <v>203</v>
      </c>
      <c r="G333" s="5">
        <v>2018</v>
      </c>
      <c r="H333" s="5" t="str">
        <f>CONCATENATE("84240233399")</f>
        <v>84240233399</v>
      </c>
      <c r="I333" s="5" t="s">
        <v>29</v>
      </c>
      <c r="J333" s="5" t="s">
        <v>30</v>
      </c>
      <c r="K333" s="5" t="str">
        <f>CONCATENATE("")</f>
        <v/>
      </c>
      <c r="L333" s="5" t="str">
        <f>CONCATENATE("10 10.1 4a")</f>
        <v>10 10.1 4a</v>
      </c>
      <c r="M333" s="5" t="str">
        <f>CONCATENATE("LCCRNT71B06I653F")</f>
        <v>LCCRNT71B06I653F</v>
      </c>
      <c r="N333" s="5" t="s">
        <v>407</v>
      </c>
      <c r="O333" s="5" t="s">
        <v>330</v>
      </c>
      <c r="P333" s="6">
        <v>43987</v>
      </c>
      <c r="Q333" s="5" t="s">
        <v>31</v>
      </c>
      <c r="R333" s="5" t="s">
        <v>32</v>
      </c>
      <c r="S333" s="5" t="s">
        <v>33</v>
      </c>
      <c r="T333" s="5"/>
      <c r="U333" s="7">
        <v>1558.08</v>
      </c>
      <c r="V333" s="5">
        <v>671.84</v>
      </c>
      <c r="W333" s="5">
        <v>620.42999999999995</v>
      </c>
      <c r="X333" s="5">
        <v>0</v>
      </c>
      <c r="Y333" s="5">
        <v>265.81</v>
      </c>
    </row>
    <row r="334" spans="1:25" ht="24.75" x14ac:dyDescent="0.25">
      <c r="A334" s="5" t="s">
        <v>26</v>
      </c>
      <c r="B334" s="5" t="s">
        <v>38</v>
      </c>
      <c r="C334" s="5" t="s">
        <v>49</v>
      </c>
      <c r="D334" s="5" t="s">
        <v>54</v>
      </c>
      <c r="E334" s="5" t="s">
        <v>34</v>
      </c>
      <c r="F334" s="5" t="s">
        <v>203</v>
      </c>
      <c r="G334" s="5">
        <v>2019</v>
      </c>
      <c r="H334" s="5" t="str">
        <f>CONCATENATE("94240435167")</f>
        <v>94240435167</v>
      </c>
      <c r="I334" s="5" t="s">
        <v>41</v>
      </c>
      <c r="J334" s="5" t="s">
        <v>30</v>
      </c>
      <c r="K334" s="5" t="str">
        <f>CONCATENATE("")</f>
        <v/>
      </c>
      <c r="L334" s="5" t="str">
        <f>CONCATENATE("10 10.1 4a")</f>
        <v>10 10.1 4a</v>
      </c>
      <c r="M334" s="5" t="str">
        <f>CONCATENATE("MNSNMR71R05E388M")</f>
        <v>MNSNMR71R05E388M</v>
      </c>
      <c r="N334" s="5" t="s">
        <v>408</v>
      </c>
      <c r="O334" s="5" t="s">
        <v>330</v>
      </c>
      <c r="P334" s="6">
        <v>43987</v>
      </c>
      <c r="Q334" s="5" t="s">
        <v>31</v>
      </c>
      <c r="R334" s="5" t="s">
        <v>32</v>
      </c>
      <c r="S334" s="5" t="s">
        <v>33</v>
      </c>
      <c r="T334" s="5"/>
      <c r="U334" s="5">
        <v>582</v>
      </c>
      <c r="V334" s="5">
        <v>250.96</v>
      </c>
      <c r="W334" s="5">
        <v>231.75</v>
      </c>
      <c r="X334" s="5">
        <v>0</v>
      </c>
      <c r="Y334" s="5">
        <v>99.29</v>
      </c>
    </row>
    <row r="335" spans="1:25" ht="24.75" x14ac:dyDescent="0.25">
      <c r="A335" s="5" t="s">
        <v>26</v>
      </c>
      <c r="B335" s="5" t="s">
        <v>38</v>
      </c>
      <c r="C335" s="5" t="s">
        <v>49</v>
      </c>
      <c r="D335" s="5" t="s">
        <v>54</v>
      </c>
      <c r="E335" s="5" t="s">
        <v>34</v>
      </c>
      <c r="F335" s="5" t="s">
        <v>328</v>
      </c>
      <c r="G335" s="5">
        <v>2019</v>
      </c>
      <c r="H335" s="5" t="str">
        <f>CONCATENATE("94240514466")</f>
        <v>94240514466</v>
      </c>
      <c r="I335" s="5" t="s">
        <v>29</v>
      </c>
      <c r="J335" s="5" t="s">
        <v>30</v>
      </c>
      <c r="K335" s="5" t="str">
        <f>CONCATENATE("")</f>
        <v/>
      </c>
      <c r="L335" s="5" t="str">
        <f>CONCATENATE("10 10.1 4a")</f>
        <v>10 10.1 4a</v>
      </c>
      <c r="M335" s="5" t="str">
        <f>CONCATENATE("MRCMNO73A42D451D")</f>
        <v>MRCMNO73A42D451D</v>
      </c>
      <c r="N335" s="5" t="s">
        <v>409</v>
      </c>
      <c r="O335" s="5" t="s">
        <v>330</v>
      </c>
      <c r="P335" s="6">
        <v>43987</v>
      </c>
      <c r="Q335" s="5" t="s">
        <v>31</v>
      </c>
      <c r="R335" s="5" t="s">
        <v>32</v>
      </c>
      <c r="S335" s="5" t="s">
        <v>33</v>
      </c>
      <c r="T335" s="5"/>
      <c r="U335" s="5">
        <v>137.27000000000001</v>
      </c>
      <c r="V335" s="5">
        <v>59.19</v>
      </c>
      <c r="W335" s="5">
        <v>54.66</v>
      </c>
      <c r="X335" s="5">
        <v>0</v>
      </c>
      <c r="Y335" s="5">
        <v>23.42</v>
      </c>
    </row>
    <row r="336" spans="1:25" ht="24.75" x14ac:dyDescent="0.25">
      <c r="A336" s="5" t="s">
        <v>26</v>
      </c>
      <c r="B336" s="5" t="s">
        <v>38</v>
      </c>
      <c r="C336" s="5" t="s">
        <v>49</v>
      </c>
      <c r="D336" s="5" t="s">
        <v>54</v>
      </c>
      <c r="E336" s="5" t="s">
        <v>39</v>
      </c>
      <c r="F336" s="5" t="s">
        <v>132</v>
      </c>
      <c r="G336" s="5">
        <v>2018</v>
      </c>
      <c r="H336" s="5" t="str">
        <f>CONCATENATE("84240771539")</f>
        <v>84240771539</v>
      </c>
      <c r="I336" s="5" t="s">
        <v>29</v>
      </c>
      <c r="J336" s="5" t="s">
        <v>30</v>
      </c>
      <c r="K336" s="5" t="str">
        <f>CONCATENATE("")</f>
        <v/>
      </c>
      <c r="L336" s="5" t="str">
        <f>CONCATENATE("10 10.1 4a")</f>
        <v>10 10.1 4a</v>
      </c>
      <c r="M336" s="5" t="str">
        <f>CONCATENATE("PRNLDA45L30D597S")</f>
        <v>PRNLDA45L30D597S</v>
      </c>
      <c r="N336" s="5" t="s">
        <v>410</v>
      </c>
      <c r="O336" s="5" t="s">
        <v>330</v>
      </c>
      <c r="P336" s="6">
        <v>43987</v>
      </c>
      <c r="Q336" s="5" t="s">
        <v>31</v>
      </c>
      <c r="R336" s="5" t="s">
        <v>32</v>
      </c>
      <c r="S336" s="5" t="s">
        <v>33</v>
      </c>
      <c r="T336" s="5"/>
      <c r="U336" s="5">
        <v>517.20000000000005</v>
      </c>
      <c r="V336" s="5">
        <v>223.02</v>
      </c>
      <c r="W336" s="5">
        <v>205.95</v>
      </c>
      <c r="X336" s="5">
        <v>0</v>
      </c>
      <c r="Y336" s="5">
        <v>88.23</v>
      </c>
    </row>
    <row r="337" spans="1:25" ht="24.75" x14ac:dyDescent="0.25">
      <c r="A337" s="5" t="s">
        <v>26</v>
      </c>
      <c r="B337" s="5" t="s">
        <v>38</v>
      </c>
      <c r="C337" s="5" t="s">
        <v>49</v>
      </c>
      <c r="D337" s="5" t="s">
        <v>50</v>
      </c>
      <c r="E337" s="5" t="s">
        <v>34</v>
      </c>
      <c r="F337" s="5" t="s">
        <v>411</v>
      </c>
      <c r="G337" s="5">
        <v>2018</v>
      </c>
      <c r="H337" s="5" t="str">
        <f>CONCATENATE("84240710941")</f>
        <v>84240710941</v>
      </c>
      <c r="I337" s="5" t="s">
        <v>29</v>
      </c>
      <c r="J337" s="5" t="s">
        <v>30</v>
      </c>
      <c r="K337" s="5" t="str">
        <f>CONCATENATE("")</f>
        <v/>
      </c>
      <c r="L337" s="5" t="str">
        <f>CONCATENATE("10 10.1 4a")</f>
        <v>10 10.1 4a</v>
      </c>
      <c r="M337" s="5" t="str">
        <f>CONCATENATE("MRLRRE77C12G516I")</f>
        <v>MRLRRE77C12G516I</v>
      </c>
      <c r="N337" s="5" t="s">
        <v>412</v>
      </c>
      <c r="O337" s="5" t="s">
        <v>330</v>
      </c>
      <c r="P337" s="6">
        <v>43987</v>
      </c>
      <c r="Q337" s="5" t="s">
        <v>31</v>
      </c>
      <c r="R337" s="5" t="s">
        <v>32</v>
      </c>
      <c r="S337" s="5" t="s">
        <v>33</v>
      </c>
      <c r="T337" s="5"/>
      <c r="U337" s="7">
        <v>1135.0999999999999</v>
      </c>
      <c r="V337" s="5">
        <v>489.46</v>
      </c>
      <c r="W337" s="5">
        <v>452</v>
      </c>
      <c r="X337" s="5">
        <v>0</v>
      </c>
      <c r="Y337" s="5">
        <v>193.64</v>
      </c>
    </row>
    <row r="338" spans="1:25" ht="24.75" x14ac:dyDescent="0.25">
      <c r="A338" s="5" t="s">
        <v>26</v>
      </c>
      <c r="B338" s="5" t="s">
        <v>38</v>
      </c>
      <c r="C338" s="5" t="s">
        <v>49</v>
      </c>
      <c r="D338" s="5" t="s">
        <v>54</v>
      </c>
      <c r="E338" s="5" t="s">
        <v>34</v>
      </c>
      <c r="F338" s="5" t="s">
        <v>203</v>
      </c>
      <c r="G338" s="5">
        <v>2018</v>
      </c>
      <c r="H338" s="5" t="str">
        <f>CONCATENATE("84240985568")</f>
        <v>84240985568</v>
      </c>
      <c r="I338" s="5" t="s">
        <v>29</v>
      </c>
      <c r="J338" s="5" t="s">
        <v>30</v>
      </c>
      <c r="K338" s="5" t="str">
        <f>CONCATENATE("")</f>
        <v/>
      </c>
      <c r="L338" s="5" t="str">
        <f>CONCATENATE("10 10.1 4a")</f>
        <v>10 10.1 4a</v>
      </c>
      <c r="M338" s="5" t="str">
        <f>CONCATENATE("PTRSNT71L21F453H")</f>
        <v>PTRSNT71L21F453H</v>
      </c>
      <c r="N338" s="5" t="s">
        <v>413</v>
      </c>
      <c r="O338" s="5" t="s">
        <v>330</v>
      </c>
      <c r="P338" s="6">
        <v>43987</v>
      </c>
      <c r="Q338" s="5" t="s">
        <v>31</v>
      </c>
      <c r="R338" s="5" t="s">
        <v>32</v>
      </c>
      <c r="S338" s="5" t="s">
        <v>33</v>
      </c>
      <c r="T338" s="5"/>
      <c r="U338" s="5">
        <v>121.68</v>
      </c>
      <c r="V338" s="5">
        <v>52.47</v>
      </c>
      <c r="W338" s="5">
        <v>48.45</v>
      </c>
      <c r="X338" s="5">
        <v>0</v>
      </c>
      <c r="Y338" s="5">
        <v>20.76</v>
      </c>
    </row>
    <row r="339" spans="1:25" ht="24.75" x14ac:dyDescent="0.25">
      <c r="A339" s="5" t="s">
        <v>26</v>
      </c>
      <c r="B339" s="5" t="s">
        <v>38</v>
      </c>
      <c r="C339" s="5" t="s">
        <v>49</v>
      </c>
      <c r="D339" s="5" t="s">
        <v>54</v>
      </c>
      <c r="E339" s="5" t="s">
        <v>34</v>
      </c>
      <c r="F339" s="5" t="s">
        <v>203</v>
      </c>
      <c r="G339" s="5">
        <v>2019</v>
      </c>
      <c r="H339" s="5" t="str">
        <f>CONCATENATE("94240435472")</f>
        <v>94240435472</v>
      </c>
      <c r="I339" s="5" t="s">
        <v>29</v>
      </c>
      <c r="J339" s="5" t="s">
        <v>30</v>
      </c>
      <c r="K339" s="5" t="str">
        <f>CONCATENATE("")</f>
        <v/>
      </c>
      <c r="L339" s="5" t="str">
        <f>CONCATENATE("10 10.1 4a")</f>
        <v>10 10.1 4a</v>
      </c>
      <c r="M339" s="5" t="str">
        <f>CONCATENATE("PRNTRN37B44A329H")</f>
        <v>PRNTRN37B44A329H</v>
      </c>
      <c r="N339" s="5" t="s">
        <v>414</v>
      </c>
      <c r="O339" s="5" t="s">
        <v>330</v>
      </c>
      <c r="P339" s="6">
        <v>43987</v>
      </c>
      <c r="Q339" s="5" t="s">
        <v>31</v>
      </c>
      <c r="R339" s="5" t="s">
        <v>32</v>
      </c>
      <c r="S339" s="5" t="s">
        <v>33</v>
      </c>
      <c r="T339" s="5"/>
      <c r="U339" s="5">
        <v>88</v>
      </c>
      <c r="V339" s="5">
        <v>37.950000000000003</v>
      </c>
      <c r="W339" s="5">
        <v>35.04</v>
      </c>
      <c r="X339" s="5">
        <v>0</v>
      </c>
      <c r="Y339" s="5">
        <v>15.01</v>
      </c>
    </row>
    <row r="340" spans="1:25" ht="24.75" x14ac:dyDescent="0.25">
      <c r="A340" s="5" t="s">
        <v>26</v>
      </c>
      <c r="B340" s="5" t="s">
        <v>38</v>
      </c>
      <c r="C340" s="5" t="s">
        <v>49</v>
      </c>
      <c r="D340" s="5" t="s">
        <v>54</v>
      </c>
      <c r="E340" s="5" t="s">
        <v>34</v>
      </c>
      <c r="F340" s="5" t="s">
        <v>203</v>
      </c>
      <c r="G340" s="5">
        <v>2019</v>
      </c>
      <c r="H340" s="5" t="str">
        <f>CONCATENATE("94240435407")</f>
        <v>94240435407</v>
      </c>
      <c r="I340" s="5" t="s">
        <v>29</v>
      </c>
      <c r="J340" s="5" t="s">
        <v>30</v>
      </c>
      <c r="K340" s="5" t="str">
        <f>CONCATENATE("")</f>
        <v/>
      </c>
      <c r="L340" s="5" t="str">
        <f>CONCATENATE("10 10.1 4a")</f>
        <v>10 10.1 4a</v>
      </c>
      <c r="M340" s="5" t="str">
        <f>CONCATENATE("RLNSLV77S66E388V")</f>
        <v>RLNSLV77S66E388V</v>
      </c>
      <c r="N340" s="5" t="s">
        <v>415</v>
      </c>
      <c r="O340" s="5" t="s">
        <v>330</v>
      </c>
      <c r="P340" s="6">
        <v>43987</v>
      </c>
      <c r="Q340" s="5" t="s">
        <v>31</v>
      </c>
      <c r="R340" s="5" t="s">
        <v>32</v>
      </c>
      <c r="S340" s="5" t="s">
        <v>33</v>
      </c>
      <c r="T340" s="5"/>
      <c r="U340" s="5">
        <v>164</v>
      </c>
      <c r="V340" s="5">
        <v>70.72</v>
      </c>
      <c r="W340" s="5">
        <v>65.3</v>
      </c>
      <c r="X340" s="5">
        <v>0</v>
      </c>
      <c r="Y340" s="5">
        <v>27.98</v>
      </c>
    </row>
    <row r="341" spans="1:25" ht="24.75" x14ac:dyDescent="0.25">
      <c r="A341" s="5" t="s">
        <v>26</v>
      </c>
      <c r="B341" s="5" t="s">
        <v>38</v>
      </c>
      <c r="C341" s="5" t="s">
        <v>49</v>
      </c>
      <c r="D341" s="5" t="s">
        <v>50</v>
      </c>
      <c r="E341" s="5" t="s">
        <v>34</v>
      </c>
      <c r="F341" s="5" t="s">
        <v>411</v>
      </c>
      <c r="G341" s="5">
        <v>2018</v>
      </c>
      <c r="H341" s="5" t="str">
        <f>CONCATENATE("84240750111")</f>
        <v>84240750111</v>
      </c>
      <c r="I341" s="5" t="s">
        <v>29</v>
      </c>
      <c r="J341" s="5" t="s">
        <v>30</v>
      </c>
      <c r="K341" s="5" t="str">
        <f>CONCATENATE("")</f>
        <v/>
      </c>
      <c r="L341" s="5" t="str">
        <f>CONCATENATE("10 10.1 4a")</f>
        <v>10 10.1 4a</v>
      </c>
      <c r="M341" s="5" t="str">
        <f>CONCATENATE("LRNMRZ79P03A462M")</f>
        <v>LRNMRZ79P03A462M</v>
      </c>
      <c r="N341" s="5" t="s">
        <v>416</v>
      </c>
      <c r="O341" s="5" t="s">
        <v>330</v>
      </c>
      <c r="P341" s="6">
        <v>43987</v>
      </c>
      <c r="Q341" s="5" t="s">
        <v>31</v>
      </c>
      <c r="R341" s="5" t="s">
        <v>32</v>
      </c>
      <c r="S341" s="5" t="s">
        <v>33</v>
      </c>
      <c r="T341" s="5"/>
      <c r="U341" s="5">
        <v>963.75</v>
      </c>
      <c r="V341" s="5">
        <v>415.57</v>
      </c>
      <c r="W341" s="5">
        <v>383.77</v>
      </c>
      <c r="X341" s="5">
        <v>0</v>
      </c>
      <c r="Y341" s="5">
        <v>164.41</v>
      </c>
    </row>
    <row r="342" spans="1:25" ht="24.75" x14ac:dyDescent="0.25">
      <c r="A342" s="5" t="s">
        <v>26</v>
      </c>
      <c r="B342" s="5" t="s">
        <v>27</v>
      </c>
      <c r="C342" s="5" t="s">
        <v>49</v>
      </c>
      <c r="D342" s="5" t="s">
        <v>50</v>
      </c>
      <c r="E342" s="5" t="s">
        <v>39</v>
      </c>
      <c r="F342" s="5" t="s">
        <v>182</v>
      </c>
      <c r="G342" s="5">
        <v>2017</v>
      </c>
      <c r="H342" s="5" t="str">
        <f>CONCATENATE("04270046669")</f>
        <v>04270046669</v>
      </c>
      <c r="I342" s="5" t="s">
        <v>29</v>
      </c>
      <c r="J342" s="5" t="s">
        <v>30</v>
      </c>
      <c r="K342" s="5" t="str">
        <f>CONCATENATE("")</f>
        <v/>
      </c>
      <c r="L342" s="5" t="str">
        <f>CONCATENATE("4 4.1 2a")</f>
        <v>4 4.1 2a</v>
      </c>
      <c r="M342" s="5" t="str">
        <f>CONCATENATE("FLCLDA86D11H769B")</f>
        <v>FLCLDA86D11H769B</v>
      </c>
      <c r="N342" s="5" t="s">
        <v>417</v>
      </c>
      <c r="O342" s="5" t="s">
        <v>418</v>
      </c>
      <c r="P342" s="6">
        <v>43987</v>
      </c>
      <c r="Q342" s="5" t="s">
        <v>31</v>
      </c>
      <c r="R342" s="5" t="s">
        <v>40</v>
      </c>
      <c r="S342" s="5" t="s">
        <v>33</v>
      </c>
      <c r="T342" s="5"/>
      <c r="U342" s="7">
        <v>38260.1</v>
      </c>
      <c r="V342" s="7">
        <v>16497.759999999998</v>
      </c>
      <c r="W342" s="7">
        <v>15235.17</v>
      </c>
      <c r="X342" s="5">
        <v>0</v>
      </c>
      <c r="Y342" s="7">
        <v>6527.17</v>
      </c>
    </row>
    <row r="343" spans="1:25" ht="24.75" x14ac:dyDescent="0.25">
      <c r="A343" s="5" t="s">
        <v>26</v>
      </c>
      <c r="B343" s="5" t="s">
        <v>27</v>
      </c>
      <c r="C343" s="5" t="s">
        <v>49</v>
      </c>
      <c r="D343" s="5" t="s">
        <v>87</v>
      </c>
      <c r="E343" s="5" t="s">
        <v>36</v>
      </c>
      <c r="F343" s="5" t="s">
        <v>36</v>
      </c>
      <c r="G343" s="5">
        <v>2017</v>
      </c>
      <c r="H343" s="5" t="str">
        <f>CONCATENATE("94270174033")</f>
        <v>94270174033</v>
      </c>
      <c r="I343" s="5" t="s">
        <v>29</v>
      </c>
      <c r="J343" s="5" t="s">
        <v>30</v>
      </c>
      <c r="K343" s="5" t="str">
        <f>CONCATENATE("")</f>
        <v/>
      </c>
      <c r="L343" s="5" t="str">
        <f>CONCATENATE("1 1.1 2a")</f>
        <v>1 1.1 2a</v>
      </c>
      <c r="M343" s="5" t="str">
        <f>CONCATENATE("01461530436")</f>
        <v>01461530436</v>
      </c>
      <c r="N343" s="5" t="s">
        <v>419</v>
      </c>
      <c r="O343" s="5" t="s">
        <v>420</v>
      </c>
      <c r="P343" s="6">
        <v>43987</v>
      </c>
      <c r="Q343" s="5" t="s">
        <v>31</v>
      </c>
      <c r="R343" s="5" t="s">
        <v>32</v>
      </c>
      <c r="S343" s="5" t="s">
        <v>33</v>
      </c>
      <c r="T343" s="5"/>
      <c r="U343" s="7">
        <v>6686.6</v>
      </c>
      <c r="V343" s="7">
        <v>2883.26</v>
      </c>
      <c r="W343" s="7">
        <v>2662.6</v>
      </c>
      <c r="X343" s="5">
        <v>0</v>
      </c>
      <c r="Y343" s="7">
        <v>1140.74</v>
      </c>
    </row>
    <row r="344" spans="1:25" ht="24.75" x14ac:dyDescent="0.25">
      <c r="A344" s="5" t="s">
        <v>26</v>
      </c>
      <c r="B344" s="5" t="s">
        <v>38</v>
      </c>
      <c r="C344" s="5" t="s">
        <v>49</v>
      </c>
      <c r="D344" s="5" t="s">
        <v>58</v>
      </c>
      <c r="E344" s="5" t="s">
        <v>39</v>
      </c>
      <c r="F344" s="5" t="s">
        <v>209</v>
      </c>
      <c r="G344" s="5">
        <v>2018</v>
      </c>
      <c r="H344" s="5" t="str">
        <f>CONCATENATE("84240243604")</f>
        <v>84240243604</v>
      </c>
      <c r="I344" s="5" t="s">
        <v>29</v>
      </c>
      <c r="J344" s="5" t="s">
        <v>30</v>
      </c>
      <c r="K344" s="5" t="str">
        <f>CONCATENATE("")</f>
        <v/>
      </c>
      <c r="L344" s="5" t="str">
        <f>CONCATENATE("11 11.1 4b")</f>
        <v>11 11.1 4b</v>
      </c>
      <c r="M344" s="5" t="str">
        <f>CONCATENATE("CCCNGL76P12I459W")</f>
        <v>CCCNGL76P12I459W</v>
      </c>
      <c r="N344" s="5" t="s">
        <v>421</v>
      </c>
      <c r="O344" s="5" t="s">
        <v>422</v>
      </c>
      <c r="P344" s="6">
        <v>43987</v>
      </c>
      <c r="Q344" s="5" t="s">
        <v>31</v>
      </c>
      <c r="R344" s="5" t="s">
        <v>32</v>
      </c>
      <c r="S344" s="5" t="s">
        <v>33</v>
      </c>
      <c r="T344" s="5"/>
      <c r="U344" s="7">
        <v>8185.68</v>
      </c>
      <c r="V344" s="7">
        <v>3529.67</v>
      </c>
      <c r="W344" s="7">
        <v>3259.54</v>
      </c>
      <c r="X344" s="5">
        <v>0</v>
      </c>
      <c r="Y344" s="7">
        <v>1396.47</v>
      </c>
    </row>
    <row r="345" spans="1:25" ht="24.75" x14ac:dyDescent="0.25">
      <c r="A345" s="5" t="s">
        <v>26</v>
      </c>
      <c r="B345" s="5" t="s">
        <v>38</v>
      </c>
      <c r="C345" s="5" t="s">
        <v>49</v>
      </c>
      <c r="D345" s="5" t="s">
        <v>58</v>
      </c>
      <c r="E345" s="5" t="s">
        <v>39</v>
      </c>
      <c r="F345" s="5" t="s">
        <v>209</v>
      </c>
      <c r="G345" s="5">
        <v>2019</v>
      </c>
      <c r="H345" s="5" t="str">
        <f>CONCATENATE("94240469075")</f>
        <v>94240469075</v>
      </c>
      <c r="I345" s="5" t="s">
        <v>29</v>
      </c>
      <c r="J345" s="5" t="s">
        <v>30</v>
      </c>
      <c r="K345" s="5" t="str">
        <f>CONCATENATE("")</f>
        <v/>
      </c>
      <c r="L345" s="5" t="str">
        <f>CONCATENATE("11 11.1 4b")</f>
        <v>11 11.1 4b</v>
      </c>
      <c r="M345" s="5" t="str">
        <f>CONCATENATE("CCCNGL76P12I459W")</f>
        <v>CCCNGL76P12I459W</v>
      </c>
      <c r="N345" s="5" t="s">
        <v>421</v>
      </c>
      <c r="O345" s="5" t="s">
        <v>422</v>
      </c>
      <c r="P345" s="6">
        <v>43987</v>
      </c>
      <c r="Q345" s="5" t="s">
        <v>31</v>
      </c>
      <c r="R345" s="5" t="s">
        <v>32</v>
      </c>
      <c r="S345" s="5" t="s">
        <v>33</v>
      </c>
      <c r="T345" s="5"/>
      <c r="U345" s="7">
        <v>11520.67</v>
      </c>
      <c r="V345" s="7">
        <v>4967.71</v>
      </c>
      <c r="W345" s="7">
        <v>4587.53</v>
      </c>
      <c r="X345" s="5">
        <v>0</v>
      </c>
      <c r="Y345" s="7">
        <v>1965.43</v>
      </c>
    </row>
    <row r="346" spans="1:25" x14ac:dyDescent="0.25">
      <c r="A346" s="5" t="s">
        <v>26</v>
      </c>
      <c r="B346" s="5" t="s">
        <v>38</v>
      </c>
      <c r="C346" s="5" t="s">
        <v>49</v>
      </c>
      <c r="D346" s="5" t="s">
        <v>87</v>
      </c>
      <c r="E346" s="5" t="s">
        <v>43</v>
      </c>
      <c r="F346" s="5" t="s">
        <v>423</v>
      </c>
      <c r="G346" s="5">
        <v>2019</v>
      </c>
      <c r="H346" s="5" t="str">
        <f>CONCATENATE("94780054352")</f>
        <v>94780054352</v>
      </c>
      <c r="I346" s="5" t="s">
        <v>29</v>
      </c>
      <c r="J346" s="5" t="s">
        <v>47</v>
      </c>
      <c r="K346" s="5" t="str">
        <f>CONCATENATE("221")</f>
        <v>221</v>
      </c>
      <c r="L346" s="5" t="str">
        <f>CONCATENATE("8 8.1 5e")</f>
        <v>8 8.1 5e</v>
      </c>
      <c r="M346" s="5" t="str">
        <f>CONCATENATE("MRNREU59P15G516T")</f>
        <v>MRNREU59P15G516T</v>
      </c>
      <c r="N346" s="5" t="s">
        <v>424</v>
      </c>
      <c r="O346" s="5" t="s">
        <v>425</v>
      </c>
      <c r="P346" s="6">
        <v>43987</v>
      </c>
      <c r="Q346" s="5" t="s">
        <v>31</v>
      </c>
      <c r="R346" s="5" t="s">
        <v>32</v>
      </c>
      <c r="S346" s="5" t="s">
        <v>33</v>
      </c>
      <c r="T346" s="5"/>
      <c r="U346" s="5">
        <v>86.88</v>
      </c>
      <c r="V346" s="5">
        <v>37.46</v>
      </c>
      <c r="W346" s="5">
        <v>34.6</v>
      </c>
      <c r="X346" s="5">
        <v>0</v>
      </c>
      <c r="Y346" s="5">
        <v>14.82</v>
      </c>
    </row>
    <row r="347" spans="1:25" ht="24.75" x14ac:dyDescent="0.25">
      <c r="A347" s="5" t="s">
        <v>26</v>
      </c>
      <c r="B347" s="5" t="s">
        <v>38</v>
      </c>
      <c r="C347" s="5" t="s">
        <v>49</v>
      </c>
      <c r="D347" s="5" t="s">
        <v>54</v>
      </c>
      <c r="E347" s="5" t="s">
        <v>34</v>
      </c>
      <c r="F347" s="5" t="s">
        <v>203</v>
      </c>
      <c r="G347" s="5">
        <v>2019</v>
      </c>
      <c r="H347" s="5" t="str">
        <f>CONCATENATE("94780015833")</f>
        <v>94780015833</v>
      </c>
      <c r="I347" s="5" t="s">
        <v>41</v>
      </c>
      <c r="J347" s="5" t="s">
        <v>47</v>
      </c>
      <c r="K347" s="5" t="str">
        <f>CONCATENATE("221")</f>
        <v>221</v>
      </c>
      <c r="L347" s="5" t="str">
        <f>CONCATENATE("8 8.1 5e")</f>
        <v>8 8.1 5e</v>
      </c>
      <c r="M347" s="5" t="str">
        <f>CONCATENATE("PLTFST70C28E388P")</f>
        <v>PLTFST70C28E388P</v>
      </c>
      <c r="N347" s="5" t="s">
        <v>426</v>
      </c>
      <c r="O347" s="5" t="s">
        <v>425</v>
      </c>
      <c r="P347" s="6">
        <v>43987</v>
      </c>
      <c r="Q347" s="5" t="s">
        <v>31</v>
      </c>
      <c r="R347" s="5" t="s">
        <v>32</v>
      </c>
      <c r="S347" s="5" t="s">
        <v>33</v>
      </c>
      <c r="T347" s="5"/>
      <c r="U347" s="5">
        <v>627.9</v>
      </c>
      <c r="V347" s="5">
        <v>270.75</v>
      </c>
      <c r="W347" s="5">
        <v>250.03</v>
      </c>
      <c r="X347" s="5">
        <v>0</v>
      </c>
      <c r="Y347" s="5">
        <v>107.12</v>
      </c>
    </row>
    <row r="348" spans="1:25" ht="24.75" x14ac:dyDescent="0.25">
      <c r="A348" s="5" t="s">
        <v>26</v>
      </c>
      <c r="B348" s="5" t="s">
        <v>38</v>
      </c>
      <c r="C348" s="5" t="s">
        <v>49</v>
      </c>
      <c r="D348" s="5" t="s">
        <v>58</v>
      </c>
      <c r="E348" s="5" t="s">
        <v>39</v>
      </c>
      <c r="F348" s="5" t="s">
        <v>69</v>
      </c>
      <c r="G348" s="5">
        <v>2019</v>
      </c>
      <c r="H348" s="5" t="str">
        <f>CONCATENATE("94241024754")</f>
        <v>94241024754</v>
      </c>
      <c r="I348" s="5" t="s">
        <v>29</v>
      </c>
      <c r="J348" s="5" t="s">
        <v>30</v>
      </c>
      <c r="K348" s="5" t="str">
        <f>CONCATENATE("")</f>
        <v/>
      </c>
      <c r="L348" s="5" t="str">
        <f>CONCATENATE("11 11.1 4b")</f>
        <v>11 11.1 4b</v>
      </c>
      <c r="M348" s="5" t="str">
        <f>CONCATENATE("02393390410")</f>
        <v>02393390410</v>
      </c>
      <c r="N348" s="5" t="s">
        <v>427</v>
      </c>
      <c r="O348" s="5" t="s">
        <v>207</v>
      </c>
      <c r="P348" s="6">
        <v>43987</v>
      </c>
      <c r="Q348" s="5" t="s">
        <v>31</v>
      </c>
      <c r="R348" s="5" t="s">
        <v>32</v>
      </c>
      <c r="S348" s="5" t="s">
        <v>33</v>
      </c>
      <c r="T348" s="5"/>
      <c r="U348" s="7">
        <v>1297.74</v>
      </c>
      <c r="V348" s="5">
        <v>559.59</v>
      </c>
      <c r="W348" s="5">
        <v>516.76</v>
      </c>
      <c r="X348" s="5">
        <v>0</v>
      </c>
      <c r="Y348" s="5">
        <v>221.39</v>
      </c>
    </row>
    <row r="349" spans="1:25" ht="24.75" x14ac:dyDescent="0.25">
      <c r="A349" s="5" t="s">
        <v>26</v>
      </c>
      <c r="B349" s="5" t="s">
        <v>38</v>
      </c>
      <c r="C349" s="5" t="s">
        <v>49</v>
      </c>
      <c r="D349" s="5" t="s">
        <v>54</v>
      </c>
      <c r="E349" s="5" t="s">
        <v>34</v>
      </c>
      <c r="F349" s="5" t="s">
        <v>328</v>
      </c>
      <c r="G349" s="5">
        <v>2018</v>
      </c>
      <c r="H349" s="5" t="str">
        <f>CONCATENATE("84240775472")</f>
        <v>84240775472</v>
      </c>
      <c r="I349" s="5" t="s">
        <v>29</v>
      </c>
      <c r="J349" s="5" t="s">
        <v>30</v>
      </c>
      <c r="K349" s="5" t="str">
        <f>CONCATENATE("")</f>
        <v/>
      </c>
      <c r="L349" s="5" t="str">
        <f>CONCATENATE("10 10.1 4a")</f>
        <v>10 10.1 4a</v>
      </c>
      <c r="M349" s="5" t="str">
        <f>CONCATENATE("MNTMRN60P23A366D")</f>
        <v>MNTMRN60P23A366D</v>
      </c>
      <c r="N349" s="5" t="s">
        <v>428</v>
      </c>
      <c r="O349" s="5" t="s">
        <v>330</v>
      </c>
      <c r="P349" s="6">
        <v>43987</v>
      </c>
      <c r="Q349" s="5" t="s">
        <v>31</v>
      </c>
      <c r="R349" s="5" t="s">
        <v>32</v>
      </c>
      <c r="S349" s="5" t="s">
        <v>33</v>
      </c>
      <c r="T349" s="5"/>
      <c r="U349" s="7">
        <v>6096.45</v>
      </c>
      <c r="V349" s="7">
        <v>2628.79</v>
      </c>
      <c r="W349" s="7">
        <v>2427.61</v>
      </c>
      <c r="X349" s="5">
        <v>0</v>
      </c>
      <c r="Y349" s="7">
        <v>1040.05</v>
      </c>
    </row>
    <row r="350" spans="1:25" ht="24.75" x14ac:dyDescent="0.25">
      <c r="A350" s="5" t="s">
        <v>26</v>
      </c>
      <c r="B350" s="5" t="s">
        <v>38</v>
      </c>
      <c r="C350" s="5" t="s">
        <v>49</v>
      </c>
      <c r="D350" s="5" t="s">
        <v>50</v>
      </c>
      <c r="E350" s="5" t="s">
        <v>44</v>
      </c>
      <c r="F350" s="5" t="s">
        <v>205</v>
      </c>
      <c r="G350" s="5">
        <v>2018</v>
      </c>
      <c r="H350" s="5" t="str">
        <f>CONCATENATE("84241001134")</f>
        <v>84241001134</v>
      </c>
      <c r="I350" s="5" t="s">
        <v>41</v>
      </c>
      <c r="J350" s="5" t="s">
        <v>30</v>
      </c>
      <c r="K350" s="5" t="str">
        <f>CONCATENATE("")</f>
        <v/>
      </c>
      <c r="L350" s="5" t="str">
        <f>CONCATENATE("10 10.1 4b")</f>
        <v>10 10.1 4b</v>
      </c>
      <c r="M350" s="5" t="str">
        <f>CONCATENATE("NCCLCN81S30H769N")</f>
        <v>NCCLCN81S30H769N</v>
      </c>
      <c r="N350" s="5" t="s">
        <v>429</v>
      </c>
      <c r="O350" s="5" t="s">
        <v>430</v>
      </c>
      <c r="P350" s="6">
        <v>43987</v>
      </c>
      <c r="Q350" s="5" t="s">
        <v>31</v>
      </c>
      <c r="R350" s="5" t="s">
        <v>32</v>
      </c>
      <c r="S350" s="5" t="s">
        <v>33</v>
      </c>
      <c r="T350" s="5"/>
      <c r="U350" s="7">
        <v>7819.76</v>
      </c>
      <c r="V350" s="7">
        <v>3371.88</v>
      </c>
      <c r="W350" s="7">
        <v>3113.83</v>
      </c>
      <c r="X350" s="5">
        <v>0</v>
      </c>
      <c r="Y350" s="7">
        <v>1334.05</v>
      </c>
    </row>
    <row r="351" spans="1:25" ht="24.75" x14ac:dyDescent="0.25">
      <c r="A351" s="5" t="s">
        <v>26</v>
      </c>
      <c r="B351" s="5" t="s">
        <v>38</v>
      </c>
      <c r="C351" s="5" t="s">
        <v>49</v>
      </c>
      <c r="D351" s="5" t="s">
        <v>50</v>
      </c>
      <c r="E351" s="5" t="s">
        <v>39</v>
      </c>
      <c r="F351" s="5" t="s">
        <v>51</v>
      </c>
      <c r="G351" s="5">
        <v>2019</v>
      </c>
      <c r="H351" s="5" t="str">
        <f>CONCATENATE("94240082191")</f>
        <v>94240082191</v>
      </c>
      <c r="I351" s="5" t="s">
        <v>29</v>
      </c>
      <c r="J351" s="5" t="s">
        <v>30</v>
      </c>
      <c r="K351" s="5" t="str">
        <f>CONCATENATE("")</f>
        <v/>
      </c>
      <c r="L351" s="5" t="str">
        <f>CONCATENATE("10 10.1 4b")</f>
        <v>10 10.1 4b</v>
      </c>
      <c r="M351" s="5" t="str">
        <f>CONCATENATE("SCRTTV62S18H769U")</f>
        <v>SCRTTV62S18H769U</v>
      </c>
      <c r="N351" s="5" t="s">
        <v>431</v>
      </c>
      <c r="O351" s="5" t="s">
        <v>430</v>
      </c>
      <c r="P351" s="6">
        <v>43987</v>
      </c>
      <c r="Q351" s="5" t="s">
        <v>31</v>
      </c>
      <c r="R351" s="5" t="s">
        <v>32</v>
      </c>
      <c r="S351" s="5" t="s">
        <v>33</v>
      </c>
      <c r="T351" s="5"/>
      <c r="U351" s="7">
        <v>5563.41</v>
      </c>
      <c r="V351" s="7">
        <v>2398.94</v>
      </c>
      <c r="W351" s="7">
        <v>2215.35</v>
      </c>
      <c r="X351" s="5">
        <v>0</v>
      </c>
      <c r="Y351" s="5">
        <v>949.12</v>
      </c>
    </row>
    <row r="352" spans="1:25" ht="24.75" x14ac:dyDescent="0.25">
      <c r="A352" s="5" t="s">
        <v>26</v>
      </c>
      <c r="B352" s="5" t="s">
        <v>27</v>
      </c>
      <c r="C352" s="5" t="s">
        <v>49</v>
      </c>
      <c r="D352" s="5" t="s">
        <v>58</v>
      </c>
      <c r="E352" s="5" t="s">
        <v>35</v>
      </c>
      <c r="F352" s="5" t="s">
        <v>350</v>
      </c>
      <c r="G352" s="5">
        <v>2017</v>
      </c>
      <c r="H352" s="5" t="str">
        <f>CONCATENATE("04270050240")</f>
        <v>04270050240</v>
      </c>
      <c r="I352" s="5" t="s">
        <v>29</v>
      </c>
      <c r="J352" s="5" t="s">
        <v>30</v>
      </c>
      <c r="K352" s="5" t="str">
        <f>CONCATENATE("")</f>
        <v/>
      </c>
      <c r="L352" s="5" t="str">
        <f>CONCATENATE("4 4.1 2a")</f>
        <v>4 4.1 2a</v>
      </c>
      <c r="M352" s="5" t="str">
        <f>CONCATENATE("MBRRNG69A28F839I")</f>
        <v>MBRRNG69A28F839I</v>
      </c>
      <c r="N352" s="5" t="s">
        <v>432</v>
      </c>
      <c r="O352" s="5" t="s">
        <v>433</v>
      </c>
      <c r="P352" s="6">
        <v>43987</v>
      </c>
      <c r="Q352" s="5" t="s">
        <v>31</v>
      </c>
      <c r="R352" s="5" t="s">
        <v>37</v>
      </c>
      <c r="S352" s="5" t="s">
        <v>33</v>
      </c>
      <c r="T352" s="5"/>
      <c r="U352" s="7">
        <v>80759.37</v>
      </c>
      <c r="V352" s="7">
        <v>34823.440000000002</v>
      </c>
      <c r="W352" s="7">
        <v>32158.38</v>
      </c>
      <c r="X352" s="5">
        <v>0</v>
      </c>
      <c r="Y352" s="7">
        <v>13777.55</v>
      </c>
    </row>
    <row r="353" spans="1:25" ht="24.75" x14ac:dyDescent="0.25">
      <c r="A353" s="5" t="s">
        <v>26</v>
      </c>
      <c r="B353" s="5" t="s">
        <v>38</v>
      </c>
      <c r="C353" s="5" t="s">
        <v>49</v>
      </c>
      <c r="D353" s="5" t="s">
        <v>58</v>
      </c>
      <c r="E353" s="5" t="s">
        <v>44</v>
      </c>
      <c r="F353" s="5" t="s">
        <v>262</v>
      </c>
      <c r="G353" s="5">
        <v>2019</v>
      </c>
      <c r="H353" s="5" t="str">
        <f>CONCATENATE("94240963606")</f>
        <v>94240963606</v>
      </c>
      <c r="I353" s="5" t="s">
        <v>29</v>
      </c>
      <c r="J353" s="5" t="s">
        <v>30</v>
      </c>
      <c r="K353" s="5" t="str">
        <f>CONCATENATE("")</f>
        <v/>
      </c>
      <c r="L353" s="5" t="str">
        <f>CONCATENATE("11 11.1 4b")</f>
        <v>11 11.1 4b</v>
      </c>
      <c r="M353" s="5" t="str">
        <f>CONCATENATE("02572310411")</f>
        <v>02572310411</v>
      </c>
      <c r="N353" s="5" t="s">
        <v>434</v>
      </c>
      <c r="O353" s="5" t="s">
        <v>422</v>
      </c>
      <c r="P353" s="6">
        <v>43987</v>
      </c>
      <c r="Q353" s="5" t="s">
        <v>31</v>
      </c>
      <c r="R353" s="5" t="s">
        <v>32</v>
      </c>
      <c r="S353" s="5" t="s">
        <v>33</v>
      </c>
      <c r="T353" s="5"/>
      <c r="U353" s="5">
        <v>335.09</v>
      </c>
      <c r="V353" s="5">
        <v>144.49</v>
      </c>
      <c r="W353" s="5">
        <v>133.43</v>
      </c>
      <c r="X353" s="5">
        <v>0</v>
      </c>
      <c r="Y353" s="5">
        <v>57.17</v>
      </c>
    </row>
    <row r="354" spans="1:25" ht="24.75" x14ac:dyDescent="0.25">
      <c r="A354" s="5" t="s">
        <v>26</v>
      </c>
      <c r="B354" s="5" t="s">
        <v>38</v>
      </c>
      <c r="C354" s="5" t="s">
        <v>49</v>
      </c>
      <c r="D354" s="5" t="s">
        <v>58</v>
      </c>
      <c r="E354" s="5" t="s">
        <v>34</v>
      </c>
      <c r="F354" s="5" t="s">
        <v>139</v>
      </c>
      <c r="G354" s="5">
        <v>2019</v>
      </c>
      <c r="H354" s="5" t="str">
        <f>CONCATENATE("94240834922")</f>
        <v>94240834922</v>
      </c>
      <c r="I354" s="5" t="s">
        <v>29</v>
      </c>
      <c r="J354" s="5" t="s">
        <v>30</v>
      </c>
      <c r="K354" s="5" t="str">
        <f>CONCATENATE("")</f>
        <v/>
      </c>
      <c r="L354" s="5" t="str">
        <f>CONCATENATE("11 11.2 4b")</f>
        <v>11 11.2 4b</v>
      </c>
      <c r="M354" s="5" t="str">
        <f>CONCATENATE("TNCNTN49R28H721P")</f>
        <v>TNCNTN49R28H721P</v>
      </c>
      <c r="N354" s="5" t="s">
        <v>435</v>
      </c>
      <c r="O354" s="5" t="s">
        <v>422</v>
      </c>
      <c r="P354" s="6">
        <v>43987</v>
      </c>
      <c r="Q354" s="5" t="s">
        <v>31</v>
      </c>
      <c r="R354" s="5" t="s">
        <v>32</v>
      </c>
      <c r="S354" s="5" t="s">
        <v>33</v>
      </c>
      <c r="T354" s="5"/>
      <c r="U354" s="7">
        <v>1477.36</v>
      </c>
      <c r="V354" s="5">
        <v>637.04</v>
      </c>
      <c r="W354" s="5">
        <v>588.28</v>
      </c>
      <c r="X354" s="5">
        <v>0</v>
      </c>
      <c r="Y354" s="5">
        <v>252.04</v>
      </c>
    </row>
    <row r="355" spans="1:25" ht="24.75" x14ac:dyDescent="0.25">
      <c r="A355" s="5" t="s">
        <v>26</v>
      </c>
      <c r="B355" s="5" t="s">
        <v>38</v>
      </c>
      <c r="C355" s="5" t="s">
        <v>49</v>
      </c>
      <c r="D355" s="5" t="s">
        <v>58</v>
      </c>
      <c r="E355" s="5" t="s">
        <v>44</v>
      </c>
      <c r="F355" s="5" t="s">
        <v>262</v>
      </c>
      <c r="G355" s="5">
        <v>2019</v>
      </c>
      <c r="H355" s="5" t="str">
        <f>CONCATENATE("94240875065")</f>
        <v>94240875065</v>
      </c>
      <c r="I355" s="5" t="s">
        <v>29</v>
      </c>
      <c r="J355" s="5" t="s">
        <v>30</v>
      </c>
      <c r="K355" s="5" t="str">
        <f>CONCATENATE("")</f>
        <v/>
      </c>
      <c r="L355" s="5" t="str">
        <f>CONCATENATE("11 11.1 4b")</f>
        <v>11 11.1 4b</v>
      </c>
      <c r="M355" s="5" t="str">
        <f>CONCATENATE("02645240413")</f>
        <v>02645240413</v>
      </c>
      <c r="N355" s="5" t="s">
        <v>436</v>
      </c>
      <c r="O355" s="5" t="s">
        <v>422</v>
      </c>
      <c r="P355" s="6">
        <v>43987</v>
      </c>
      <c r="Q355" s="5" t="s">
        <v>31</v>
      </c>
      <c r="R355" s="5" t="s">
        <v>32</v>
      </c>
      <c r="S355" s="5" t="s">
        <v>33</v>
      </c>
      <c r="T355" s="5"/>
      <c r="U355" s="7">
        <v>5643.6</v>
      </c>
      <c r="V355" s="7">
        <v>2433.52</v>
      </c>
      <c r="W355" s="7">
        <v>2247.2800000000002</v>
      </c>
      <c r="X355" s="5">
        <v>0</v>
      </c>
      <c r="Y355" s="5">
        <v>962.8</v>
      </c>
    </row>
    <row r="356" spans="1:25" ht="24.75" x14ac:dyDescent="0.25">
      <c r="A356" s="5" t="s">
        <v>26</v>
      </c>
      <c r="B356" s="5" t="s">
        <v>38</v>
      </c>
      <c r="C356" s="5" t="s">
        <v>49</v>
      </c>
      <c r="D356" s="5" t="s">
        <v>58</v>
      </c>
      <c r="E356" s="5" t="s">
        <v>34</v>
      </c>
      <c r="F356" s="5" t="s">
        <v>437</v>
      </c>
      <c r="G356" s="5">
        <v>2019</v>
      </c>
      <c r="H356" s="5" t="str">
        <f>CONCATENATE("94241051674")</f>
        <v>94241051674</v>
      </c>
      <c r="I356" s="5" t="s">
        <v>29</v>
      </c>
      <c r="J356" s="5" t="s">
        <v>30</v>
      </c>
      <c r="K356" s="5" t="str">
        <f>CONCATENATE("")</f>
        <v/>
      </c>
      <c r="L356" s="5" t="str">
        <f>CONCATENATE("11 11.1 4b")</f>
        <v>11 11.1 4b</v>
      </c>
      <c r="M356" s="5" t="str">
        <f>CONCATENATE("FLVCLF45H01G453Z")</f>
        <v>FLVCLF45H01G453Z</v>
      </c>
      <c r="N356" s="5" t="s">
        <v>438</v>
      </c>
      <c r="O356" s="5" t="s">
        <v>422</v>
      </c>
      <c r="P356" s="6">
        <v>43987</v>
      </c>
      <c r="Q356" s="5" t="s">
        <v>31</v>
      </c>
      <c r="R356" s="5" t="s">
        <v>32</v>
      </c>
      <c r="S356" s="5" t="s">
        <v>33</v>
      </c>
      <c r="T356" s="5"/>
      <c r="U356" s="7">
        <v>5113.8100000000004</v>
      </c>
      <c r="V356" s="7">
        <v>2205.0700000000002</v>
      </c>
      <c r="W356" s="7">
        <v>2036.32</v>
      </c>
      <c r="X356" s="5">
        <v>0</v>
      </c>
      <c r="Y356" s="5">
        <v>872.42</v>
      </c>
    </row>
    <row r="357" spans="1:25" ht="24.75" x14ac:dyDescent="0.25">
      <c r="A357" s="5" t="s">
        <v>26</v>
      </c>
      <c r="B357" s="5" t="s">
        <v>38</v>
      </c>
      <c r="C357" s="5" t="s">
        <v>49</v>
      </c>
      <c r="D357" s="5" t="s">
        <v>54</v>
      </c>
      <c r="E357" s="5" t="s">
        <v>43</v>
      </c>
      <c r="F357" s="5" t="s">
        <v>439</v>
      </c>
      <c r="G357" s="5">
        <v>2019</v>
      </c>
      <c r="H357" s="5" t="str">
        <f>CONCATENATE("94780047752")</f>
        <v>94780047752</v>
      </c>
      <c r="I357" s="5" t="s">
        <v>29</v>
      </c>
      <c r="J357" s="5" t="s">
        <v>47</v>
      </c>
      <c r="K357" s="5" t="str">
        <f>CONCATENATE("221")</f>
        <v>221</v>
      </c>
      <c r="L357" s="5" t="str">
        <f>CONCATENATE("8 8.1 5e")</f>
        <v>8 8.1 5e</v>
      </c>
      <c r="M357" s="5" t="str">
        <f>CONCATENATE("PRTGPP33B49H501J")</f>
        <v>PRTGPP33B49H501J</v>
      </c>
      <c r="N357" s="5" t="s">
        <v>440</v>
      </c>
      <c r="O357" s="5" t="s">
        <v>425</v>
      </c>
      <c r="P357" s="6">
        <v>43987</v>
      </c>
      <c r="Q357" s="5" t="s">
        <v>31</v>
      </c>
      <c r="R357" s="5" t="s">
        <v>32</v>
      </c>
      <c r="S357" s="5" t="s">
        <v>33</v>
      </c>
      <c r="T357" s="5"/>
      <c r="U357" s="5">
        <v>601.25</v>
      </c>
      <c r="V357" s="5">
        <v>259.26</v>
      </c>
      <c r="W357" s="5">
        <v>239.42</v>
      </c>
      <c r="X357" s="5">
        <v>0</v>
      </c>
      <c r="Y357" s="5">
        <v>102.57</v>
      </c>
    </row>
    <row r="358" spans="1:25" ht="24.75" x14ac:dyDescent="0.25">
      <c r="A358" s="5" t="s">
        <v>26</v>
      </c>
      <c r="B358" s="5" t="s">
        <v>38</v>
      </c>
      <c r="C358" s="5" t="s">
        <v>49</v>
      </c>
      <c r="D358" s="5" t="s">
        <v>54</v>
      </c>
      <c r="E358" s="5" t="s">
        <v>28</v>
      </c>
      <c r="F358" s="5" t="s">
        <v>441</v>
      </c>
      <c r="G358" s="5">
        <v>2019</v>
      </c>
      <c r="H358" s="5" t="str">
        <f>CONCATENATE("94780034057")</f>
        <v>94780034057</v>
      </c>
      <c r="I358" s="5" t="s">
        <v>41</v>
      </c>
      <c r="J358" s="5" t="s">
        <v>47</v>
      </c>
      <c r="K358" s="5" t="str">
        <f>CONCATENATE("221")</f>
        <v>221</v>
      </c>
      <c r="L358" s="5" t="str">
        <f>CONCATENATE("8 8.1 5e")</f>
        <v>8 8.1 5e</v>
      </c>
      <c r="M358" s="5" t="str">
        <f>CONCATENATE("BRRLGU59B15D597T")</f>
        <v>BRRLGU59B15D597T</v>
      </c>
      <c r="N358" s="5" t="s">
        <v>442</v>
      </c>
      <c r="O358" s="5" t="s">
        <v>425</v>
      </c>
      <c r="P358" s="6">
        <v>43987</v>
      </c>
      <c r="Q358" s="5" t="s">
        <v>31</v>
      </c>
      <c r="R358" s="5" t="s">
        <v>32</v>
      </c>
      <c r="S358" s="5" t="s">
        <v>33</v>
      </c>
      <c r="T358" s="5"/>
      <c r="U358" s="5">
        <v>217.32</v>
      </c>
      <c r="V358" s="5">
        <v>93.71</v>
      </c>
      <c r="W358" s="5">
        <v>86.54</v>
      </c>
      <c r="X358" s="5">
        <v>0</v>
      </c>
      <c r="Y358" s="5">
        <v>37.07</v>
      </c>
    </row>
    <row r="359" spans="1:25" x14ac:dyDescent="0.25">
      <c r="A359" s="5" t="s">
        <v>26</v>
      </c>
      <c r="B359" s="5" t="s">
        <v>38</v>
      </c>
      <c r="C359" s="5" t="s">
        <v>49</v>
      </c>
      <c r="D359" s="5" t="s">
        <v>87</v>
      </c>
      <c r="E359" s="5" t="s">
        <v>39</v>
      </c>
      <c r="F359" s="5" t="s">
        <v>143</v>
      </c>
      <c r="G359" s="5">
        <v>2019</v>
      </c>
      <c r="H359" s="5" t="str">
        <f>CONCATENATE("94780054519")</f>
        <v>94780054519</v>
      </c>
      <c r="I359" s="5" t="s">
        <v>29</v>
      </c>
      <c r="J359" s="5" t="s">
        <v>47</v>
      </c>
      <c r="K359" s="5" t="str">
        <f>CONCATENATE("221")</f>
        <v>221</v>
      </c>
      <c r="L359" s="5" t="str">
        <f>CONCATENATE("8 8.1 5e")</f>
        <v>8 8.1 5e</v>
      </c>
      <c r="M359" s="5" t="str">
        <f>CONCATENATE("FRNSFN79A22E783I")</f>
        <v>FRNSFN79A22E783I</v>
      </c>
      <c r="N359" s="5" t="s">
        <v>443</v>
      </c>
      <c r="O359" s="5" t="s">
        <v>425</v>
      </c>
      <c r="P359" s="6">
        <v>43987</v>
      </c>
      <c r="Q359" s="5" t="s">
        <v>31</v>
      </c>
      <c r="R359" s="5" t="s">
        <v>32</v>
      </c>
      <c r="S359" s="5" t="s">
        <v>33</v>
      </c>
      <c r="T359" s="5"/>
      <c r="U359" s="5">
        <v>280.27999999999997</v>
      </c>
      <c r="V359" s="5">
        <v>120.86</v>
      </c>
      <c r="W359" s="5">
        <v>111.61</v>
      </c>
      <c r="X359" s="5">
        <v>0</v>
      </c>
      <c r="Y359" s="5">
        <v>47.81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2020-06-16T20:51:07Z</dcterms:created>
  <dcterms:modified xsi:type="dcterms:W3CDTF">2020-06-16T20:52:06Z</dcterms:modified>
</cp:coreProperties>
</file>