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67\"/>
    </mc:Choice>
  </mc:AlternateContent>
  <xr:revisionPtr revIDLastSave="0" documentId="8_{BDE04BA1-EF18-41E2-888E-EA4E62D7375C}" xr6:coauthVersionLast="45" xr6:coauthVersionMax="45" xr10:uidLastSave="{00000000-0000-0000-0000-000000000000}"/>
  <bookViews>
    <workbookView xWindow="-120" yWindow="-120" windowWidth="20730" windowHeight="11160" xr2:uid="{8D16F1E1-0077-4DA8-8D11-E489D54CC63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1" i="1" l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<sst xmlns="http://schemas.openxmlformats.org/spreadsheetml/2006/main" count="1170" uniqueCount="185">
  <si>
    <t>Dettaglio Domande Pagabili Decreto 367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</si>
  <si>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</si>
  <si>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</si>
  <si>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</si>
  <si>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</si>
  <si>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</si>
  <si>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</si>
  <si>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</si>
  <si>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</si>
  <si>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</si>
  <si>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</si>
  <si>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</si>
  <si>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</si>
  <si>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</si>
  <si>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</si>
  <si>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</si>
  <si>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</si>
  <si>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</si>
  <si>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</si>
  <si>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</si>
  <si>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</si>
  <si>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</si>
  <si>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</si>
  <si>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</si>
  <si>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</si>
  <si>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</si>
  <si>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</si>
  <si>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</si>
  <si>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</si>
  <si>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SI</t>
  </si>
  <si>
    <t>Nuova Programmazione</t>
  </si>
  <si>
    <t>In Liquidazione</t>
  </si>
  <si>
    <t>SAL</t>
  </si>
  <si>
    <t>Co-Finanziato</t>
  </si>
  <si>
    <t>CAA Confagricoltura srl</t>
  </si>
  <si>
    <t>NO</t>
  </si>
  <si>
    <t>Anticipo</t>
  </si>
  <si>
    <t>Misure a Superficie</t>
  </si>
  <si>
    <t>Trascinamenti</t>
  </si>
  <si>
    <t>Saldo</t>
  </si>
  <si>
    <t>CAA CIA srl</t>
  </si>
  <si>
    <t>CAA Coldiretti srl</t>
  </si>
  <si>
    <t>CAA UNICAA srl</t>
  </si>
  <si>
    <t>CAA LiberiAgricoltori srl già CAA AGCI srl</t>
  </si>
  <si>
    <t>CAA-CAF AGRI S.R.L.</t>
  </si>
  <si>
    <t>CAA Liberi Professionisti srl</t>
  </si>
  <si>
    <t>MARCHE</t>
  </si>
  <si>
    <t>SERV. DEC. AGRICOLTURA E ALIMENTAZIONE - ANCONA</t>
  </si>
  <si>
    <t>CAA CIA - ANCONA - 002</t>
  </si>
  <si>
    <t>GOBBI SOCIETA' SEMPLICE AGRICOLA DI GOBBI LORENZO</t>
  </si>
  <si>
    <t>AGEA.ASR.2020.0173448</t>
  </si>
  <si>
    <t>SERV. DEC. AGRICOLTURA E ALIMENTAZIONE - PESARO</t>
  </si>
  <si>
    <t>CAA Coldiretti - RIMINI - 002</t>
  </si>
  <si>
    <t>BARZAGLI ROBERTA</t>
  </si>
  <si>
    <t>AGEA.ASR.2020.0388807</t>
  </si>
  <si>
    <t>CAA Coldiretti - PESARO E URBINO - 004</t>
  </si>
  <si>
    <t>MONTI ATTILIO</t>
  </si>
  <si>
    <t>CAA Coldiretti - RIMINI - 005</t>
  </si>
  <si>
    <t>BAGNOLI EZIO</t>
  </si>
  <si>
    <t>AGEA.ASR.2020.0388816</t>
  </si>
  <si>
    <t>SERV. DEC. AGRICOLTURA E ALIM. -ASCOLI PICENO</t>
  </si>
  <si>
    <t>CAA CIA - ASCOLI PICENO - 005</t>
  </si>
  <si>
    <t>GRILLI MATTEO</t>
  </si>
  <si>
    <t>AGEA.ASR.2020.0383565</t>
  </si>
  <si>
    <t>CAA Coldiretti - PESARO E URBINO - 013</t>
  </si>
  <si>
    <t>CARLONI CARLO</t>
  </si>
  <si>
    <t>CAA Confagricoltura - PESARO E URBINO - 001</t>
  </si>
  <si>
    <t>SALA CLAUDIO</t>
  </si>
  <si>
    <t>SERV. DEC. AGRICOLTURA E ALIM. - MACERATA</t>
  </si>
  <si>
    <t>IMPRESA VERDE MARCHE SRL</t>
  </si>
  <si>
    <t>AGEA.ASR.2020.0384148</t>
  </si>
  <si>
    <t>CAA CAF AGRI - MACERATA - 227</t>
  </si>
  <si>
    <t>PIERANTONELLI AMALIA</t>
  </si>
  <si>
    <t>AGEA.ASR.2020.0388795</t>
  </si>
  <si>
    <t>CAA Coldiretti - MACERATA - 009</t>
  </si>
  <si>
    <t>RENZULLO MICHELE</t>
  </si>
  <si>
    <t>CAA Confagricoltura - ANCONA - 001</t>
  </si>
  <si>
    <t>SAVORETTI MASSIMILIANO</t>
  </si>
  <si>
    <t>CAA CAF AGRI - ANCONA - 225</t>
  </si>
  <si>
    <t>RICCI RENATO</t>
  </si>
  <si>
    <t>CAA CIA - ANCONA - 004</t>
  </si>
  <si>
    <t>GAGGIOTTINI EMILIO</t>
  </si>
  <si>
    <t>CAA LiberiAgricoltori - MACERATA - 001</t>
  </si>
  <si>
    <t>GIULIANI ENRICO EREDI &amp; C. SOCIETA' AGRICOLA SEMPLICE</t>
  </si>
  <si>
    <t>CURSI OSCAR</t>
  </si>
  <si>
    <t>GIOVANNELLI PATRIZIA</t>
  </si>
  <si>
    <t>AGEA.ASR.2020.0382978</t>
  </si>
  <si>
    <t>AGAMENNONI ALBERTO</t>
  </si>
  <si>
    <t>AGEA.ASR.2020.0404299</t>
  </si>
  <si>
    <t>CAA CIA - PESARO E URBINO - 008</t>
  </si>
  <si>
    <t>BERARDI GIANCARLO</t>
  </si>
  <si>
    <t>CAA LiberiAgricoltori - MACERATA - 004</t>
  </si>
  <si>
    <t>RINOMATA AZIENDA BIOLOGICA IMPRENDITORI LIBERTI SIMONE E GIANPIETRO SO</t>
  </si>
  <si>
    <t>CAA Coldiretti - MACERATA - 010</t>
  </si>
  <si>
    <t>BOSCOROSSO SOCIETA' AGRICOLA A R.L.</t>
  </si>
  <si>
    <t>AZ.AGRICOLA CONTI &amp; MONTESI S.S. SOCIETA' AGRICOLA</t>
  </si>
  <si>
    <t>CAA Coldiretti - ANCONA - 003</t>
  </si>
  <si>
    <t>SOCIETA' SEMPLICE AGRICOLA "LA COLLINA" DI BRACACCINI E CURSI</t>
  </si>
  <si>
    <t>CAA CIA - PESARO E URBINO - 002</t>
  </si>
  <si>
    <t>AGOSTINI FEDERICO</t>
  </si>
  <si>
    <t>CAA Coldiretti - ANCONA - 002</t>
  </si>
  <si>
    <t>SOCIETA' AGRICOLA GIOIA S.S.</t>
  </si>
  <si>
    <t>TURCHI FABIO</t>
  </si>
  <si>
    <t>CAA Coldiretti - PESARO E URBINO - 001</t>
  </si>
  <si>
    <t>AZIENDA AGRICOLA VENZANO DI URBINATI GABRIELE E FABRIZIO S.S</t>
  </si>
  <si>
    <t>CAA CIA - ANCONA - 005</t>
  </si>
  <si>
    <t>PECCI DANIELE</t>
  </si>
  <si>
    <t>CAA LiberiAgricoltori - PESARO E URBINO - 002</t>
  </si>
  <si>
    <t>CALIENDI ENRICO</t>
  </si>
  <si>
    <t>SOCIETA' AGRICOLA MINUTELLI S.S. DI BARBIERI MASSIMO &amp; C.</t>
  </si>
  <si>
    <t>FERRI MATTIA</t>
  </si>
  <si>
    <t>CAA Coldiretti - MACERATA - 007</t>
  </si>
  <si>
    <t>MARZIALETTI FRANCESCO</t>
  </si>
  <si>
    <t>SERO S.A.S. DI MARCHETTI ALESSANDRO E C. SOCIETA' AGRICOLA</t>
  </si>
  <si>
    <t>CAA CAF AGRI - PESARO E URBINO - 221</t>
  </si>
  <si>
    <t>SOCIETA' AGRICOLA TERRA E SOLE BOSCARINI DI BOSCARINI EMANUELE &amp; C. -</t>
  </si>
  <si>
    <t>MURA SALVATORE</t>
  </si>
  <si>
    <t>ARPINI MIRKO</t>
  </si>
  <si>
    <t>CAA Confagricoltura - MACERATA - 001</t>
  </si>
  <si>
    <t>SENESI PATRIZIA</t>
  </si>
  <si>
    <t>CAA CAF AGRI - PESARO E URBINO - 222</t>
  </si>
  <si>
    <t>FINOCCHI FABRIZIO</t>
  </si>
  <si>
    <t>PIETRINI GRAZIANO</t>
  </si>
  <si>
    <t>CAA Coldiretti - ANCONA - 001</t>
  </si>
  <si>
    <t>SALCICCIA MARTINA</t>
  </si>
  <si>
    <t>CALISTI GIAN CARLO</t>
  </si>
  <si>
    <t>FARRIS CHIARA</t>
  </si>
  <si>
    <t>GAGLIARDINI CESARINA</t>
  </si>
  <si>
    <t>CAA Liberi Prof.- PESARO E URBINO - 001</t>
  </si>
  <si>
    <t>URBINELLI MARIA LAURA</t>
  </si>
  <si>
    <t>CAA CIA - PESARO E URBINO - 007</t>
  </si>
  <si>
    <t>COSTANTINI ANTONIO</t>
  </si>
  <si>
    <t>GIOVAGNOLI STEFANO</t>
  </si>
  <si>
    <t>PACI FLAVIO</t>
  </si>
  <si>
    <t>RASCHINI LORENZO</t>
  </si>
  <si>
    <t>SOCIETA' AGRICOLA CAMPORESI S.S.</t>
  </si>
  <si>
    <t>CAA LiberiAgricoltori - PESARO E URBINO - 001</t>
  </si>
  <si>
    <t>SOCIETA' AGRICOLA NONNO CIRO S.S.</t>
  </si>
  <si>
    <t>BERARDI FABRIZIO</t>
  </si>
  <si>
    <t>CAA CIA - MACERATA - 001</t>
  </si>
  <si>
    <t>MISICI MARIO</t>
  </si>
  <si>
    <t>MARINI PAOLO</t>
  </si>
  <si>
    <t>SOCIETA' AGRICOLA VALDITEVA S.S.</t>
  </si>
  <si>
    <t>DILETTI GIANLUCA</t>
  </si>
  <si>
    <t>SOCIETA' AGRICOLA FATTOBENE LAURA E MAURO S.S.</t>
  </si>
  <si>
    <t>MARCHESE MARINO</t>
  </si>
  <si>
    <t>GAROSI MANUELA</t>
  </si>
  <si>
    <t>COSTANTINI GIULIANO</t>
  </si>
  <si>
    <t>CAA Coldiretti - ANCONA - 005</t>
  </si>
  <si>
    <t>MAGAGNINI FABRIZIO</t>
  </si>
  <si>
    <t>CAA Coldiretti - MACERATA - 017</t>
  </si>
  <si>
    <t>SEPI FORTUNATO</t>
  </si>
  <si>
    <t>SOCIETA' AGRICOLA SEPI ANGELICA ECATERINA S.S.</t>
  </si>
  <si>
    <t>ARCANGELETTI GIULIO</t>
  </si>
  <si>
    <t>CAA Coldiretti - PESARO E URBINO - 010</t>
  </si>
  <si>
    <t>BENEDETTI CLAUDIO</t>
  </si>
  <si>
    <t>CIANCONI FRANCESCO</t>
  </si>
  <si>
    <t>SOCIETA' AGRICOLA ROMANINI DOMENICO E ALESSANDRO SOCIETA' SEMPLIC E</t>
  </si>
  <si>
    <t>SOCIETA' AGRICOLA DI DI PIETRANTONIO A. E C. S.S.</t>
  </si>
  <si>
    <t>CARTUCCIA ENRICO</t>
  </si>
  <si>
    <t>MARIANI MARTA</t>
  </si>
  <si>
    <t>SOCIETA' AGRICOLA GRANDONI MAURIZIO E C. S.S.</t>
  </si>
  <si>
    <t>SOCIETA' AGRICOLA FAGGETI DI DIOTALEVI LUANA E C. S.S.</t>
  </si>
  <si>
    <t>LE COLLINE DI RUSTANO SOCIETA' AGRICOLA SEMPLICE</t>
  </si>
  <si>
    <t>SOCIETA AGRICOLA BLASI RICCARDO E ROBERTO SS</t>
  </si>
  <si>
    <t>QUACOS SOC.SEMPLICE AGRICOLA</t>
  </si>
  <si>
    <t>SOC. AGR. BUROTTA DI LAINO DALL'ACQUA FRANCESCO &amp; C. S.S.</t>
  </si>
  <si>
    <t>SOCIETA' AGRICOLA ABC DI GUERRA S.S.</t>
  </si>
  <si>
    <t>IMPRESA AGRICOLA VITO CELESTE &amp; C.</t>
  </si>
  <si>
    <t>CONTADINI ANNA MARIA</t>
  </si>
  <si>
    <t>CAA Coldiretti - PESARO E URBINO - 008</t>
  </si>
  <si>
    <t>SOCIETA' AGRICOLA TIBERI FEDERICO &amp; C. SOCIETA' SEMPLICE</t>
  </si>
  <si>
    <t>CAA UNICAA - ASCOLI PICENO - 004</t>
  </si>
  <si>
    <t>FABI MARCO</t>
  </si>
  <si>
    <t>AGEA.ASR.2020.0384080</t>
  </si>
  <si>
    <t>COLLI ESINI SAN VICINO SRL</t>
  </si>
  <si>
    <t>AGEA.ASR.2020.0384113</t>
  </si>
  <si>
    <t>AGEA.ASR.2020.0413839</t>
  </si>
  <si>
    <t>CAA Copagri srl</t>
  </si>
  <si>
    <t>CAA Copagri - ANCONA - 502</t>
  </si>
  <si>
    <t>CESARONI CLAUDIO</t>
  </si>
  <si>
    <t>AGEA.ASR.2020.0383305</t>
  </si>
  <si>
    <t>SOCIETA' AGRICOLA CA' MARIOTTO S.S.</t>
  </si>
  <si>
    <t>AGEA.ASR.2020.0384071</t>
  </si>
  <si>
    <t>SOCIETA' AGRICOLA FONTE ANTICA DI TRAINI G. E L.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</si>
</sst>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E388-8D0F-420C-A6EE-48272D698D29}">
  <dimension ref="A1:Y91"/>
  <sheetViews>
    <sheetView showGridLines="0" tabSelected="1" workbookViewId="0">
      <selection activeCell="E96" sqref="E96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285156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46</v>
      </c>
      <c r="D4" s="5" t="s">
        <v>47</v>
      </c>
      <c r="E4" s="5" t="s">
        <v>40</v>
      </c>
      <c r="F4" s="5" t="s">
        <v>48</v>
      </c>
      <c r="G4" s="5">
        <v>2017</v>
      </c>
      <c r="H4" s="5" t="str">
        <f>CONCATENATE("94270173456")</f>
        <v>94270173456</v>
      </c>
      <c r="I4" s="5" t="s">
        <v>35</v>
      </c>
      <c r="J4" s="5" t="s">
        <v>30</v>
      </c>
      <c r="K4" s="5" t="str">
        <f>CONCATENATE("")</f>
        <v/>
      </c>
      <c r="L4" s="5" t="str">
        <f>CONCATENATE("4 4.1 2a")</f>
        <v>4 4.1 2a</v>
      </c>
      <c r="M4" s="5" t="str">
        <f>CONCATENATE("00856440425")</f>
        <v>00856440425</v>
      </c>
      <c r="N4" s="5" t="s">
        <v>49</v>
      </c>
      <c r="O4" s="5" t="s">
        <v>50</v>
      </c>
      <c r="P4" s="6">
        <v>43903</v>
      </c>
      <c r="Q4" s="5" t="s">
        <v>31</v>
      </c>
      <c r="R4" s="5" t="s">
        <v>36</v>
      </c>
      <c r="S4" s="5" t="s">
        <v>33</v>
      </c>
      <c r="T4" s="5"/>
      <c r="U4" s="7">
        <v>9140</v>
      </c>
      <c r="V4" s="7">
        <v>3941.17</v>
      </c>
      <c r="W4" s="7">
        <v>3639.55</v>
      </c>
      <c r="X4" s="5">
        <v>0</v>
      </c>
      <c r="Y4" s="7">
        <v>1559.28</v>
      </c>
    </row>
    <row r="5" spans="1:25" ht="24.75" x14ac:dyDescent="0.25">
      <c r="A5" s="5" t="s">
        <v>26</v>
      </c>
      <c r="B5" s="5" t="s">
        <v>37</v>
      </c>
      <c r="C5" s="5" t="s">
        <v>46</v>
      </c>
      <c r="D5" s="5" t="s">
        <v>51</v>
      </c>
      <c r="E5" s="5" t="s">
        <v>41</v>
      </c>
      <c r="F5" s="5" t="s">
        <v>52</v>
      </c>
      <c r="G5" s="5">
        <v>2019</v>
      </c>
      <c r="H5" s="5" t="str">
        <f>CONCATENATE("94780041680")</f>
        <v>94780041680</v>
      </c>
      <c r="I5" s="5" t="s">
        <v>35</v>
      </c>
      <c r="J5" s="5" t="s">
        <v>38</v>
      </c>
      <c r="K5" s="5" t="str">
        <f>CONCATENATE("221")</f>
        <v>221</v>
      </c>
      <c r="L5" s="5" t="str">
        <f>CONCATENATE("8 8.1 5e")</f>
        <v>8 8.1 5e</v>
      </c>
      <c r="M5" s="5" t="str">
        <f>CONCATENATE("BRZRRT58A62B188P")</f>
        <v>BRZRRT58A62B188P</v>
      </c>
      <c r="N5" s="5" t="s">
        <v>53</v>
      </c>
      <c r="O5" s="5" t="s">
        <v>54</v>
      </c>
      <c r="P5" s="6">
        <v>43965</v>
      </c>
      <c r="Q5" s="5" t="s">
        <v>31</v>
      </c>
      <c r="R5" s="5" t="s">
        <v>39</v>
      </c>
      <c r="S5" s="5" t="s">
        <v>33</v>
      </c>
      <c r="T5" s="5"/>
      <c r="U5" s="5">
        <v>275.43</v>
      </c>
      <c r="V5" s="5">
        <v>118.77</v>
      </c>
      <c r="W5" s="5">
        <v>109.68</v>
      </c>
      <c r="X5" s="5">
        <v>0</v>
      </c>
      <c r="Y5" s="5">
        <v>46.98</v>
      </c>
    </row>
    <row r="6" spans="1:25" ht="24.75" x14ac:dyDescent="0.25">
      <c r="A6" s="5" t="s">
        <v>26</v>
      </c>
      <c r="B6" s="5" t="s">
        <v>37</v>
      </c>
      <c r="C6" s="5" t="s">
        <v>46</v>
      </c>
      <c r="D6" s="5" t="s">
        <v>51</v>
      </c>
      <c r="E6" s="5" t="s">
        <v>41</v>
      </c>
      <c r="F6" s="5" t="s">
        <v>55</v>
      </c>
      <c r="G6" s="5">
        <v>2019</v>
      </c>
      <c r="H6" s="5" t="str">
        <f>CONCATENATE("94780014638")</f>
        <v>94780014638</v>
      </c>
      <c r="I6" s="5" t="s">
        <v>35</v>
      </c>
      <c r="J6" s="5" t="s">
        <v>38</v>
      </c>
      <c r="K6" s="5" t="str">
        <f>CONCATENATE("221")</f>
        <v>221</v>
      </c>
      <c r="L6" s="5" t="str">
        <f>CONCATENATE("8 8.1 5e")</f>
        <v>8 8.1 5e</v>
      </c>
      <c r="M6" s="5" t="str">
        <f>CONCATENATE("MNTTTL31R19H501R")</f>
        <v>MNTTTL31R19H501R</v>
      </c>
      <c r="N6" s="5" t="s">
        <v>56</v>
      </c>
      <c r="O6" s="5" t="s">
        <v>54</v>
      </c>
      <c r="P6" s="6">
        <v>43965</v>
      </c>
      <c r="Q6" s="5" t="s">
        <v>31</v>
      </c>
      <c r="R6" s="5" t="s">
        <v>39</v>
      </c>
      <c r="S6" s="5" t="s">
        <v>33</v>
      </c>
      <c r="T6" s="5"/>
      <c r="U6" s="5">
        <v>545</v>
      </c>
      <c r="V6" s="5">
        <v>235</v>
      </c>
      <c r="W6" s="5">
        <v>217.02</v>
      </c>
      <c r="X6" s="5">
        <v>0</v>
      </c>
      <c r="Y6" s="5">
        <v>92.98</v>
      </c>
    </row>
    <row r="7" spans="1:25" ht="24.75" x14ac:dyDescent="0.25">
      <c r="A7" s="5" t="s">
        <v>26</v>
      </c>
      <c r="B7" s="5" t="s">
        <v>37</v>
      </c>
      <c r="C7" s="5" t="s">
        <v>46</v>
      </c>
      <c r="D7" s="5" t="s">
        <v>51</v>
      </c>
      <c r="E7" s="5" t="s">
        <v>41</v>
      </c>
      <c r="F7" s="5" t="s">
        <v>57</v>
      </c>
      <c r="G7" s="5">
        <v>2018</v>
      </c>
      <c r="H7" s="5" t="str">
        <f>CONCATENATE("84780060962")</f>
        <v>84780060962</v>
      </c>
      <c r="I7" s="5" t="s">
        <v>35</v>
      </c>
      <c r="J7" s="5" t="s">
        <v>38</v>
      </c>
      <c r="K7" s="5" t="str">
        <f>CONCATENATE("221")</f>
        <v>221</v>
      </c>
      <c r="L7" s="5" t="str">
        <f>CONCATENATE("8 8.1 5e")</f>
        <v>8 8.1 5e</v>
      </c>
      <c r="M7" s="5" t="str">
        <f>CONCATENATE("BGNZEI48E31I201G")</f>
        <v>BGNZEI48E31I201G</v>
      </c>
      <c r="N7" s="5" t="s">
        <v>58</v>
      </c>
      <c r="O7" s="5" t="s">
        <v>59</v>
      </c>
      <c r="P7" s="6">
        <v>43965</v>
      </c>
      <c r="Q7" s="5" t="s">
        <v>31</v>
      </c>
      <c r="R7" s="5" t="s">
        <v>39</v>
      </c>
      <c r="S7" s="5" t="s">
        <v>33</v>
      </c>
      <c r="T7" s="5"/>
      <c r="U7" s="5">
        <v>399.15</v>
      </c>
      <c r="V7" s="5">
        <v>172.11</v>
      </c>
      <c r="W7" s="5">
        <v>158.94</v>
      </c>
      <c r="X7" s="5">
        <v>0</v>
      </c>
      <c r="Y7" s="5">
        <v>68.099999999999994</v>
      </c>
    </row>
    <row r="8" spans="1:25" ht="24.75" x14ac:dyDescent="0.25">
      <c r="A8" s="5" t="s">
        <v>26</v>
      </c>
      <c r="B8" s="5" t="s">
        <v>27</v>
      </c>
      <c r="C8" s="5" t="s">
        <v>46</v>
      </c>
      <c r="D8" s="5" t="s">
        <v>60</v>
      </c>
      <c r="E8" s="5" t="s">
        <v>40</v>
      </c>
      <c r="F8" s="5" t="s">
        <v>61</v>
      </c>
      <c r="G8" s="5">
        <v>2017</v>
      </c>
      <c r="H8" s="5" t="str">
        <f>CONCATENATE("04270042205")</f>
        <v>04270042205</v>
      </c>
      <c r="I8" s="5" t="s">
        <v>35</v>
      </c>
      <c r="J8" s="5" t="s">
        <v>30</v>
      </c>
      <c r="K8" s="5" t="str">
        <f>CONCATENATE("")</f>
        <v/>
      </c>
      <c r="L8" s="5" t="str">
        <f>CONCATENATE("6 6.1 2b")</f>
        <v>6 6.1 2b</v>
      </c>
      <c r="M8" s="5" t="str">
        <f>CONCATENATE("GRLMTT81M08D542H")</f>
        <v>GRLMTT81M08D542H</v>
      </c>
      <c r="N8" s="5" t="s">
        <v>62</v>
      </c>
      <c r="O8" s="5" t="s">
        <v>63</v>
      </c>
      <c r="P8" s="6">
        <v>43964</v>
      </c>
      <c r="Q8" s="5" t="s">
        <v>31</v>
      </c>
      <c r="R8" s="5" t="s">
        <v>32</v>
      </c>
      <c r="S8" s="5" t="s">
        <v>33</v>
      </c>
      <c r="T8" s="5"/>
      <c r="U8" s="7">
        <v>42000</v>
      </c>
      <c r="V8" s="7">
        <v>18110.400000000001</v>
      </c>
      <c r="W8" s="7">
        <v>16724.400000000001</v>
      </c>
      <c r="X8" s="5">
        <v>0</v>
      </c>
      <c r="Y8" s="7">
        <v>7165.2</v>
      </c>
    </row>
    <row r="9" spans="1:25" ht="24.75" x14ac:dyDescent="0.25">
      <c r="A9" s="5" t="s">
        <v>26</v>
      </c>
      <c r="B9" s="5" t="s">
        <v>37</v>
      </c>
      <c r="C9" s="5" t="s">
        <v>46</v>
      </c>
      <c r="D9" s="5" t="s">
        <v>51</v>
      </c>
      <c r="E9" s="5" t="s">
        <v>41</v>
      </c>
      <c r="F9" s="5" t="s">
        <v>64</v>
      </c>
      <c r="G9" s="5">
        <v>2018</v>
      </c>
      <c r="H9" s="5" t="str">
        <f>CONCATENATE("84780057224")</f>
        <v>84780057224</v>
      </c>
      <c r="I9" s="5" t="s">
        <v>35</v>
      </c>
      <c r="J9" s="5" t="s">
        <v>38</v>
      </c>
      <c r="K9" s="5" t="str">
        <f>CONCATENATE("221")</f>
        <v>221</v>
      </c>
      <c r="L9" s="5" t="str">
        <f>CONCATENATE("8 8.1 5e")</f>
        <v>8 8.1 5e</v>
      </c>
      <c r="M9" s="5" t="str">
        <f>CONCATENATE("CRLCRL60S27D749I")</f>
        <v>CRLCRL60S27D749I</v>
      </c>
      <c r="N9" s="5" t="s">
        <v>65</v>
      </c>
      <c r="O9" s="5" t="s">
        <v>59</v>
      </c>
      <c r="P9" s="6">
        <v>43965</v>
      </c>
      <c r="Q9" s="5" t="s">
        <v>31</v>
      </c>
      <c r="R9" s="5" t="s">
        <v>39</v>
      </c>
      <c r="S9" s="5" t="s">
        <v>33</v>
      </c>
      <c r="T9" s="5"/>
      <c r="U9" s="5">
        <v>135.83000000000001</v>
      </c>
      <c r="V9" s="5">
        <v>58.57</v>
      </c>
      <c r="W9" s="5">
        <v>54.09</v>
      </c>
      <c r="X9" s="5">
        <v>0</v>
      </c>
      <c r="Y9" s="5">
        <v>23.17</v>
      </c>
    </row>
    <row r="10" spans="1:25" ht="24.75" x14ac:dyDescent="0.25">
      <c r="A10" s="5" t="s">
        <v>26</v>
      </c>
      <c r="B10" s="5" t="s">
        <v>37</v>
      </c>
      <c r="C10" s="5" t="s">
        <v>46</v>
      </c>
      <c r="D10" s="5" t="s">
        <v>51</v>
      </c>
      <c r="E10" s="5" t="s">
        <v>34</v>
      </c>
      <c r="F10" s="5" t="s">
        <v>66</v>
      </c>
      <c r="G10" s="5">
        <v>2018</v>
      </c>
      <c r="H10" s="5" t="str">
        <f>CONCATENATE("84780033902")</f>
        <v>84780033902</v>
      </c>
      <c r="I10" s="5" t="s">
        <v>35</v>
      </c>
      <c r="J10" s="5" t="s">
        <v>38</v>
      </c>
      <c r="K10" s="5" t="str">
        <f>CONCATENATE("221")</f>
        <v>221</v>
      </c>
      <c r="L10" s="5" t="str">
        <f>CONCATENATE("8 8.1 5e")</f>
        <v>8 8.1 5e</v>
      </c>
      <c r="M10" s="5" t="str">
        <f>CONCATENATE("SLACLD75D14G479L")</f>
        <v>SLACLD75D14G479L</v>
      </c>
      <c r="N10" s="5" t="s">
        <v>67</v>
      </c>
      <c r="O10" s="5" t="s">
        <v>59</v>
      </c>
      <c r="P10" s="6">
        <v>43965</v>
      </c>
      <c r="Q10" s="5" t="s">
        <v>31</v>
      </c>
      <c r="R10" s="5" t="s">
        <v>39</v>
      </c>
      <c r="S10" s="5" t="s">
        <v>33</v>
      </c>
      <c r="T10" s="5"/>
      <c r="U10" s="5">
        <v>659.2</v>
      </c>
      <c r="V10" s="5">
        <v>284.25</v>
      </c>
      <c r="W10" s="5">
        <v>262.49</v>
      </c>
      <c r="X10" s="5">
        <v>0</v>
      </c>
      <c r="Y10" s="5">
        <v>112.46</v>
      </c>
    </row>
    <row r="11" spans="1:25" x14ac:dyDescent="0.25">
      <c r="A11" s="5" t="s">
        <v>26</v>
      </c>
      <c r="B11" s="5" t="s">
        <v>27</v>
      </c>
      <c r="C11" s="5" t="s">
        <v>46</v>
      </c>
      <c r="D11" s="5" t="s">
        <v>68</v>
      </c>
      <c r="E11" s="5" t="s">
        <v>28</v>
      </c>
      <c r="F11" s="5" t="s">
        <v>28</v>
      </c>
      <c r="G11" s="5">
        <v>2017</v>
      </c>
      <c r="H11" s="5" t="str">
        <f>CONCATENATE("04270042320")</f>
        <v>04270042320</v>
      </c>
      <c r="I11" s="5" t="s">
        <v>35</v>
      </c>
      <c r="J11" s="5" t="s">
        <v>30</v>
      </c>
      <c r="K11" s="5" t="str">
        <f>CONCATENATE("")</f>
        <v/>
      </c>
      <c r="L11" s="5" t="str">
        <f>CONCATENATE("1 1.1 2a")</f>
        <v>1 1.1 2a</v>
      </c>
      <c r="M11" s="5" t="str">
        <f>CONCATENATE("02051370423")</f>
        <v>02051370423</v>
      </c>
      <c r="N11" s="5" t="s">
        <v>69</v>
      </c>
      <c r="O11" s="5" t="s">
        <v>70</v>
      </c>
      <c r="P11" s="6">
        <v>43964</v>
      </c>
      <c r="Q11" s="5" t="s">
        <v>31</v>
      </c>
      <c r="R11" s="5" t="s">
        <v>39</v>
      </c>
      <c r="S11" s="5" t="s">
        <v>33</v>
      </c>
      <c r="T11" s="5"/>
      <c r="U11" s="7">
        <v>1320</v>
      </c>
      <c r="V11" s="5">
        <v>569.17999999999995</v>
      </c>
      <c r="W11" s="5">
        <v>525.62</v>
      </c>
      <c r="X11" s="5">
        <v>0</v>
      </c>
      <c r="Y11" s="5">
        <v>225.2</v>
      </c>
    </row>
    <row r="12" spans="1:25" x14ac:dyDescent="0.25">
      <c r="A12" s="5" t="s">
        <v>26</v>
      </c>
      <c r="B12" s="5" t="s">
        <v>27</v>
      </c>
      <c r="C12" s="5" t="s">
        <v>46</v>
      </c>
      <c r="D12" s="5" t="s">
        <v>68</v>
      </c>
      <c r="E12" s="5" t="s">
        <v>28</v>
      </c>
      <c r="F12" s="5" t="s">
        <v>28</v>
      </c>
      <c r="G12" s="5">
        <v>2017</v>
      </c>
      <c r="H12" s="5" t="str">
        <f>CONCATENATE("04270042312")</f>
        <v>04270042312</v>
      </c>
      <c r="I12" s="5" t="s">
        <v>35</v>
      </c>
      <c r="J12" s="5" t="s">
        <v>30</v>
      </c>
      <c r="K12" s="5" t="str">
        <f>CONCATENATE("")</f>
        <v/>
      </c>
      <c r="L12" s="5" t="str">
        <f>CONCATENATE("1 1.1 2a")</f>
        <v>1 1.1 2a</v>
      </c>
      <c r="M12" s="5" t="str">
        <f>CONCATENATE("02051370423")</f>
        <v>02051370423</v>
      </c>
      <c r="N12" s="5" t="s">
        <v>69</v>
      </c>
      <c r="O12" s="5" t="s">
        <v>70</v>
      </c>
      <c r="P12" s="6">
        <v>43964</v>
      </c>
      <c r="Q12" s="5" t="s">
        <v>31</v>
      </c>
      <c r="R12" s="5" t="s">
        <v>39</v>
      </c>
      <c r="S12" s="5" t="s">
        <v>33</v>
      </c>
      <c r="T12" s="5"/>
      <c r="U12" s="7">
        <v>1089</v>
      </c>
      <c r="V12" s="5">
        <v>469.58</v>
      </c>
      <c r="W12" s="5">
        <v>433.64</v>
      </c>
      <c r="X12" s="5">
        <v>0</v>
      </c>
      <c r="Y12" s="5">
        <v>185.78</v>
      </c>
    </row>
    <row r="13" spans="1:25" x14ac:dyDescent="0.25">
      <c r="A13" s="5" t="s">
        <v>26</v>
      </c>
      <c r="B13" s="5" t="s">
        <v>37</v>
      </c>
      <c r="C13" s="5" t="s">
        <v>46</v>
      </c>
      <c r="D13" s="5" t="s">
        <v>68</v>
      </c>
      <c r="E13" s="5" t="s">
        <v>44</v>
      </c>
      <c r="F13" s="5" t="s">
        <v>71</v>
      </c>
      <c r="G13" s="5">
        <v>2019</v>
      </c>
      <c r="H13" s="5" t="str">
        <f>CONCATENATE("94780055482")</f>
        <v>94780055482</v>
      </c>
      <c r="I13" s="5" t="s">
        <v>35</v>
      </c>
      <c r="J13" s="5" t="s">
        <v>38</v>
      </c>
      <c r="K13" s="5" t="str">
        <f>CONCATENATE("221")</f>
        <v>221</v>
      </c>
      <c r="L13" s="5" t="str">
        <f>CONCATENATE("8 8.1 5e")</f>
        <v>8 8.1 5e</v>
      </c>
      <c r="M13" s="5" t="str">
        <f>CONCATENATE("PRNMLA35P60C704C")</f>
        <v>PRNMLA35P60C704C</v>
      </c>
      <c r="N13" s="5" t="s">
        <v>72</v>
      </c>
      <c r="O13" s="5" t="s">
        <v>73</v>
      </c>
      <c r="P13" s="6">
        <v>43965</v>
      </c>
      <c r="Q13" s="5" t="s">
        <v>31</v>
      </c>
      <c r="R13" s="5" t="s">
        <v>39</v>
      </c>
      <c r="S13" s="5" t="s">
        <v>33</v>
      </c>
      <c r="T13" s="5"/>
      <c r="U13" s="7">
        <v>1129.5999999999999</v>
      </c>
      <c r="V13" s="5">
        <v>487.08</v>
      </c>
      <c r="W13" s="5">
        <v>449.81</v>
      </c>
      <c r="X13" s="5">
        <v>0</v>
      </c>
      <c r="Y13" s="5">
        <v>192.71</v>
      </c>
    </row>
    <row r="14" spans="1:25" x14ac:dyDescent="0.25">
      <c r="A14" s="5" t="s">
        <v>26</v>
      </c>
      <c r="B14" s="5" t="s">
        <v>37</v>
      </c>
      <c r="C14" s="5" t="s">
        <v>46</v>
      </c>
      <c r="D14" s="5" t="s">
        <v>68</v>
      </c>
      <c r="E14" s="5" t="s">
        <v>41</v>
      </c>
      <c r="F14" s="5" t="s">
        <v>74</v>
      </c>
      <c r="G14" s="5">
        <v>2019</v>
      </c>
      <c r="H14" s="5" t="str">
        <f>CONCATENATE("94780053495")</f>
        <v>94780053495</v>
      </c>
      <c r="I14" s="5" t="s">
        <v>35</v>
      </c>
      <c r="J14" s="5" t="s">
        <v>38</v>
      </c>
      <c r="K14" s="5" t="str">
        <f>CONCATENATE("221")</f>
        <v>221</v>
      </c>
      <c r="L14" s="5" t="str">
        <f>CONCATENATE("8 8.1 5e")</f>
        <v>8 8.1 5e</v>
      </c>
      <c r="M14" s="5" t="str">
        <f>CONCATENATE("RNZMHL51S15A059V")</f>
        <v>RNZMHL51S15A059V</v>
      </c>
      <c r="N14" s="5" t="s">
        <v>75</v>
      </c>
      <c r="O14" s="5" t="s">
        <v>73</v>
      </c>
      <c r="P14" s="6">
        <v>43965</v>
      </c>
      <c r="Q14" s="5" t="s">
        <v>31</v>
      </c>
      <c r="R14" s="5" t="s">
        <v>39</v>
      </c>
      <c r="S14" s="5" t="s">
        <v>33</v>
      </c>
      <c r="T14" s="5"/>
      <c r="U14" s="7">
        <v>2996.86</v>
      </c>
      <c r="V14" s="7">
        <v>1292.25</v>
      </c>
      <c r="W14" s="7">
        <v>1193.3499999999999</v>
      </c>
      <c r="X14" s="5">
        <v>0</v>
      </c>
      <c r="Y14" s="5">
        <v>511.26</v>
      </c>
    </row>
    <row r="15" spans="1:25" x14ac:dyDescent="0.25">
      <c r="A15" s="5" t="s">
        <v>26</v>
      </c>
      <c r="B15" s="5" t="s">
        <v>37</v>
      </c>
      <c r="C15" s="5" t="s">
        <v>46</v>
      </c>
      <c r="D15" s="5" t="s">
        <v>68</v>
      </c>
      <c r="E15" s="5" t="s">
        <v>34</v>
      </c>
      <c r="F15" s="5" t="s">
        <v>76</v>
      </c>
      <c r="G15" s="5">
        <v>2019</v>
      </c>
      <c r="H15" s="5" t="str">
        <f>CONCATENATE("94780032846")</f>
        <v>94780032846</v>
      </c>
      <c r="I15" s="5" t="s">
        <v>35</v>
      </c>
      <c r="J15" s="5" t="s">
        <v>38</v>
      </c>
      <c r="K15" s="5" t="str">
        <f>CONCATENATE("221")</f>
        <v>221</v>
      </c>
      <c r="L15" s="5" t="str">
        <f>CONCATENATE("8 8.1 5e")</f>
        <v>8 8.1 5e</v>
      </c>
      <c r="M15" s="5" t="str">
        <f>CONCATENATE("SVRMSM77L04E690N")</f>
        <v>SVRMSM77L04E690N</v>
      </c>
      <c r="N15" s="5" t="s">
        <v>77</v>
      </c>
      <c r="O15" s="5" t="s">
        <v>73</v>
      </c>
      <c r="P15" s="6">
        <v>43965</v>
      </c>
      <c r="Q15" s="5" t="s">
        <v>31</v>
      </c>
      <c r="R15" s="5" t="s">
        <v>39</v>
      </c>
      <c r="S15" s="5" t="s">
        <v>33</v>
      </c>
      <c r="T15" s="5"/>
      <c r="U15" s="7">
        <v>1000</v>
      </c>
      <c r="V15" s="5">
        <v>431.2</v>
      </c>
      <c r="W15" s="5">
        <v>398.2</v>
      </c>
      <c r="X15" s="5">
        <v>0</v>
      </c>
      <c r="Y15" s="5">
        <v>170.6</v>
      </c>
    </row>
    <row r="16" spans="1:25" ht="24.75" x14ac:dyDescent="0.25">
      <c r="A16" s="5" t="s">
        <v>26</v>
      </c>
      <c r="B16" s="5" t="s">
        <v>37</v>
      </c>
      <c r="C16" s="5" t="s">
        <v>46</v>
      </c>
      <c r="D16" s="5" t="s">
        <v>47</v>
      </c>
      <c r="E16" s="5" t="s">
        <v>44</v>
      </c>
      <c r="F16" s="5" t="s">
        <v>78</v>
      </c>
      <c r="G16" s="5">
        <v>2019</v>
      </c>
      <c r="H16" s="5" t="str">
        <f>CONCATENATE("94780034800")</f>
        <v>94780034800</v>
      </c>
      <c r="I16" s="5" t="s">
        <v>35</v>
      </c>
      <c r="J16" s="5" t="s">
        <v>38</v>
      </c>
      <c r="K16" s="5" t="str">
        <f>CONCATENATE("221")</f>
        <v>221</v>
      </c>
      <c r="L16" s="5" t="str">
        <f>CONCATENATE("8 8.1 5e")</f>
        <v>8 8.1 5e</v>
      </c>
      <c r="M16" s="5" t="str">
        <f>CONCATENATE("RCCRNT48C28I461H")</f>
        <v>RCCRNT48C28I461H</v>
      </c>
      <c r="N16" s="5" t="s">
        <v>79</v>
      </c>
      <c r="O16" s="5" t="s">
        <v>73</v>
      </c>
      <c r="P16" s="6">
        <v>43965</v>
      </c>
      <c r="Q16" s="5" t="s">
        <v>31</v>
      </c>
      <c r="R16" s="5" t="s">
        <v>39</v>
      </c>
      <c r="S16" s="5" t="s">
        <v>33</v>
      </c>
      <c r="T16" s="5"/>
      <c r="U16" s="5">
        <v>78</v>
      </c>
      <c r="V16" s="5">
        <v>33.630000000000003</v>
      </c>
      <c r="W16" s="5">
        <v>31.06</v>
      </c>
      <c r="X16" s="5">
        <v>0</v>
      </c>
      <c r="Y16" s="5">
        <v>13.31</v>
      </c>
    </row>
    <row r="17" spans="1:25" ht="24.75" x14ac:dyDescent="0.25">
      <c r="A17" s="5" t="s">
        <v>26</v>
      </c>
      <c r="B17" s="5" t="s">
        <v>37</v>
      </c>
      <c r="C17" s="5" t="s">
        <v>46</v>
      </c>
      <c r="D17" s="5" t="s">
        <v>47</v>
      </c>
      <c r="E17" s="5" t="s">
        <v>40</v>
      </c>
      <c r="F17" s="5" t="s">
        <v>80</v>
      </c>
      <c r="G17" s="5">
        <v>2019</v>
      </c>
      <c r="H17" s="5" t="str">
        <f>CONCATENATE("94780018977")</f>
        <v>94780018977</v>
      </c>
      <c r="I17" s="5" t="s">
        <v>35</v>
      </c>
      <c r="J17" s="5" t="s">
        <v>38</v>
      </c>
      <c r="K17" s="5" t="str">
        <f>CONCATENATE("221")</f>
        <v>221</v>
      </c>
      <c r="L17" s="5" t="str">
        <f>CONCATENATE("8 8.1 5e")</f>
        <v>8 8.1 5e</v>
      </c>
      <c r="M17" s="5" t="str">
        <f>CONCATENATE("GGGMLE89B03I608D")</f>
        <v>GGGMLE89B03I608D</v>
      </c>
      <c r="N17" s="5" t="s">
        <v>81</v>
      </c>
      <c r="O17" s="5" t="s">
        <v>73</v>
      </c>
      <c r="P17" s="6">
        <v>43965</v>
      </c>
      <c r="Q17" s="5" t="s">
        <v>31</v>
      </c>
      <c r="R17" s="5" t="s">
        <v>39</v>
      </c>
      <c r="S17" s="5" t="s">
        <v>33</v>
      </c>
      <c r="T17" s="5"/>
      <c r="U17" s="5">
        <v>760</v>
      </c>
      <c r="V17" s="5">
        <v>327.71</v>
      </c>
      <c r="W17" s="5">
        <v>302.63</v>
      </c>
      <c r="X17" s="5">
        <v>0</v>
      </c>
      <c r="Y17" s="5">
        <v>129.66</v>
      </c>
    </row>
    <row r="18" spans="1:25" ht="24.75" x14ac:dyDescent="0.25">
      <c r="A18" s="5" t="s">
        <v>26</v>
      </c>
      <c r="B18" s="5" t="s">
        <v>37</v>
      </c>
      <c r="C18" s="5" t="s">
        <v>46</v>
      </c>
      <c r="D18" s="5" t="s">
        <v>68</v>
      </c>
      <c r="E18" s="5" t="s">
        <v>43</v>
      </c>
      <c r="F18" s="5" t="s">
        <v>82</v>
      </c>
      <c r="G18" s="5">
        <v>2019</v>
      </c>
      <c r="H18" s="5" t="str">
        <f>CONCATENATE("94780014976")</f>
        <v>94780014976</v>
      </c>
      <c r="I18" s="5" t="s">
        <v>35</v>
      </c>
      <c r="J18" s="5" t="s">
        <v>38</v>
      </c>
      <c r="K18" s="5" t="str">
        <f>CONCATENATE("221")</f>
        <v>221</v>
      </c>
      <c r="L18" s="5" t="str">
        <f>CONCATENATE("8 8.1 5e")</f>
        <v>8 8.1 5e</v>
      </c>
      <c r="M18" s="5" t="str">
        <f>CONCATENATE("00695170431")</f>
        <v>00695170431</v>
      </c>
      <c r="N18" s="5" t="s">
        <v>83</v>
      </c>
      <c r="O18" s="5" t="s">
        <v>73</v>
      </c>
      <c r="P18" s="6">
        <v>43965</v>
      </c>
      <c r="Q18" s="5" t="s">
        <v>31</v>
      </c>
      <c r="R18" s="5" t="s">
        <v>39</v>
      </c>
      <c r="S18" s="5" t="s">
        <v>33</v>
      </c>
      <c r="T18" s="5"/>
      <c r="U18" s="7">
        <v>2540.3000000000002</v>
      </c>
      <c r="V18" s="7">
        <v>1095.3800000000001</v>
      </c>
      <c r="W18" s="7">
        <v>1011.55</v>
      </c>
      <c r="X18" s="5">
        <v>0</v>
      </c>
      <c r="Y18" s="5">
        <v>433.37</v>
      </c>
    </row>
    <row r="19" spans="1:25" ht="24.75" x14ac:dyDescent="0.25">
      <c r="A19" s="5" t="s">
        <v>26</v>
      </c>
      <c r="B19" s="5" t="s">
        <v>37</v>
      </c>
      <c r="C19" s="5" t="s">
        <v>46</v>
      </c>
      <c r="D19" s="5" t="s">
        <v>47</v>
      </c>
      <c r="E19" s="5" t="s">
        <v>40</v>
      </c>
      <c r="F19" s="5" t="s">
        <v>80</v>
      </c>
      <c r="G19" s="5">
        <v>2019</v>
      </c>
      <c r="H19" s="5" t="str">
        <f>CONCATENATE("94780019884")</f>
        <v>94780019884</v>
      </c>
      <c r="I19" s="5" t="s">
        <v>35</v>
      </c>
      <c r="J19" s="5" t="s">
        <v>38</v>
      </c>
      <c r="K19" s="5" t="str">
        <f>CONCATENATE("221")</f>
        <v>221</v>
      </c>
      <c r="L19" s="5" t="str">
        <f>CONCATENATE("8 8.1 5e")</f>
        <v>8 8.1 5e</v>
      </c>
      <c r="M19" s="5" t="str">
        <f>CONCATENATE("CRSSCR61R29I608H")</f>
        <v>CRSSCR61R29I608H</v>
      </c>
      <c r="N19" s="5" t="s">
        <v>84</v>
      </c>
      <c r="O19" s="5" t="s">
        <v>73</v>
      </c>
      <c r="P19" s="6">
        <v>43965</v>
      </c>
      <c r="Q19" s="5" t="s">
        <v>31</v>
      </c>
      <c r="R19" s="5" t="s">
        <v>39</v>
      </c>
      <c r="S19" s="5" t="s">
        <v>33</v>
      </c>
      <c r="T19" s="5"/>
      <c r="U19" s="7">
        <v>1402.5</v>
      </c>
      <c r="V19" s="5">
        <v>604.76</v>
      </c>
      <c r="W19" s="5">
        <v>558.48</v>
      </c>
      <c r="X19" s="5">
        <v>0</v>
      </c>
      <c r="Y19" s="5">
        <v>239.26</v>
      </c>
    </row>
    <row r="20" spans="1:25" ht="24.75" x14ac:dyDescent="0.25">
      <c r="A20" s="5" t="s">
        <v>26</v>
      </c>
      <c r="B20" s="5" t="s">
        <v>27</v>
      </c>
      <c r="C20" s="5" t="s">
        <v>46</v>
      </c>
      <c r="D20" s="5" t="s">
        <v>60</v>
      </c>
      <c r="E20" s="5" t="s">
        <v>28</v>
      </c>
      <c r="F20" s="5" t="s">
        <v>28</v>
      </c>
      <c r="G20" s="5">
        <v>2017</v>
      </c>
      <c r="H20" s="5" t="str">
        <f>CONCATENATE("94270173969")</f>
        <v>94270173969</v>
      </c>
      <c r="I20" s="5" t="s">
        <v>35</v>
      </c>
      <c r="J20" s="5" t="s">
        <v>30</v>
      </c>
      <c r="K20" s="5" t="str">
        <f>CONCATENATE("")</f>
        <v/>
      </c>
      <c r="L20" s="5" t="str">
        <f>CONCATENATE("8 8.1 5e")</f>
        <v>8 8.1 5e</v>
      </c>
      <c r="M20" s="5" t="str">
        <f>CONCATENATE("GVNPRZ74C60E730G")</f>
        <v>GVNPRZ74C60E730G</v>
      </c>
      <c r="N20" s="5" t="s">
        <v>85</v>
      </c>
      <c r="O20" s="5" t="s">
        <v>86</v>
      </c>
      <c r="P20" s="6">
        <v>43964</v>
      </c>
      <c r="Q20" s="5" t="s">
        <v>31</v>
      </c>
      <c r="R20" s="5" t="s">
        <v>39</v>
      </c>
      <c r="S20" s="5" t="s">
        <v>33</v>
      </c>
      <c r="T20" s="5"/>
      <c r="U20" s="7">
        <v>7497.29</v>
      </c>
      <c r="V20" s="7">
        <v>3232.83</v>
      </c>
      <c r="W20" s="7">
        <v>2985.42</v>
      </c>
      <c r="X20" s="5">
        <v>0</v>
      </c>
      <c r="Y20" s="7">
        <v>1279.04</v>
      </c>
    </row>
    <row r="21" spans="1:25" x14ac:dyDescent="0.25">
      <c r="A21" s="5" t="s">
        <v>26</v>
      </c>
      <c r="B21" s="5" t="s">
        <v>37</v>
      </c>
      <c r="C21" s="5" t="s">
        <v>46</v>
      </c>
      <c r="D21" s="5" t="s">
        <v>68</v>
      </c>
      <c r="E21" s="5" t="s">
        <v>41</v>
      </c>
      <c r="F21" s="5" t="s">
        <v>74</v>
      </c>
      <c r="G21" s="5">
        <v>2019</v>
      </c>
      <c r="H21" s="5" t="str">
        <f>CONCATENATE("94241169666")</f>
        <v>94241169666</v>
      </c>
      <c r="I21" s="5" t="s">
        <v>35</v>
      </c>
      <c r="J21" s="5" t="s">
        <v>30</v>
      </c>
      <c r="K21" s="5" t="str">
        <f>CONCATENATE("")</f>
        <v/>
      </c>
      <c r="L21" s="5" t="str">
        <f>CONCATENATE("14 14.1 3a")</f>
        <v>14 14.1 3a</v>
      </c>
      <c r="M21" s="5" t="str">
        <f>CONCATENATE("GMNLRT72P15L191L")</f>
        <v>GMNLRT72P15L191L</v>
      </c>
      <c r="N21" s="5" t="s">
        <v>87</v>
      </c>
      <c r="O21" s="5" t="s">
        <v>88</v>
      </c>
      <c r="P21" s="6">
        <v>43964</v>
      </c>
      <c r="Q21" s="5" t="s">
        <v>31</v>
      </c>
      <c r="R21" s="5" t="s">
        <v>39</v>
      </c>
      <c r="S21" s="5" t="s">
        <v>33</v>
      </c>
      <c r="T21" s="5"/>
      <c r="U21" s="7">
        <v>9234</v>
      </c>
      <c r="V21" s="7">
        <v>3981.7</v>
      </c>
      <c r="W21" s="7">
        <v>3676.98</v>
      </c>
      <c r="X21" s="5">
        <v>0</v>
      </c>
      <c r="Y21" s="7">
        <v>1575.32</v>
      </c>
    </row>
    <row r="22" spans="1:25" ht="24.75" x14ac:dyDescent="0.25">
      <c r="A22" s="5" t="s">
        <v>26</v>
      </c>
      <c r="B22" s="5" t="s">
        <v>37</v>
      </c>
      <c r="C22" s="5" t="s">
        <v>46</v>
      </c>
      <c r="D22" s="5" t="s">
        <v>51</v>
      </c>
      <c r="E22" s="5" t="s">
        <v>40</v>
      </c>
      <c r="F22" s="5" t="s">
        <v>89</v>
      </c>
      <c r="G22" s="5">
        <v>2019</v>
      </c>
      <c r="H22" s="5" t="str">
        <f>CONCATENATE("94240384878")</f>
        <v>94240384878</v>
      </c>
      <c r="I22" s="5" t="s">
        <v>35</v>
      </c>
      <c r="J22" s="5" t="s">
        <v>30</v>
      </c>
      <c r="K22" s="5" t="str">
        <f>CONCATENATE("")</f>
        <v/>
      </c>
      <c r="L22" s="5" t="str">
        <f>CONCATENATE("14 14.1 3a")</f>
        <v>14 14.1 3a</v>
      </c>
      <c r="M22" s="5" t="str">
        <f>CONCATENATE("BRRGCR61R30Z130G")</f>
        <v>BRRGCR61R30Z130G</v>
      </c>
      <c r="N22" s="5" t="s">
        <v>90</v>
      </c>
      <c r="O22" s="5" t="s">
        <v>88</v>
      </c>
      <c r="P22" s="6">
        <v>43964</v>
      </c>
      <c r="Q22" s="5" t="s">
        <v>31</v>
      </c>
      <c r="R22" s="5" t="s">
        <v>39</v>
      </c>
      <c r="S22" s="5" t="s">
        <v>33</v>
      </c>
      <c r="T22" s="5"/>
      <c r="U22" s="5">
        <v>764.61</v>
      </c>
      <c r="V22" s="5">
        <v>329.7</v>
      </c>
      <c r="W22" s="5">
        <v>304.47000000000003</v>
      </c>
      <c r="X22" s="5">
        <v>0</v>
      </c>
      <c r="Y22" s="5">
        <v>130.44</v>
      </c>
    </row>
    <row r="23" spans="1:25" ht="36.75" x14ac:dyDescent="0.25">
      <c r="A23" s="5" t="s">
        <v>26</v>
      </c>
      <c r="B23" s="5" t="s">
        <v>37</v>
      </c>
      <c r="C23" s="5" t="s">
        <v>46</v>
      </c>
      <c r="D23" s="5" t="s">
        <v>68</v>
      </c>
      <c r="E23" s="5" t="s">
        <v>43</v>
      </c>
      <c r="F23" s="5" t="s">
        <v>91</v>
      </c>
      <c r="G23" s="5">
        <v>2019</v>
      </c>
      <c r="H23" s="5" t="str">
        <f>CONCATENATE("94241168536")</f>
        <v>94241168536</v>
      </c>
      <c r="I23" s="5" t="s">
        <v>35</v>
      </c>
      <c r="J23" s="5" t="s">
        <v>30</v>
      </c>
      <c r="K23" s="5" t="str">
        <f>CONCATENATE("")</f>
        <v/>
      </c>
      <c r="L23" s="5" t="str">
        <f>CONCATENATE("14 14.1 3a")</f>
        <v>14 14.1 3a</v>
      </c>
      <c r="M23" s="5" t="str">
        <f>CONCATENATE("01711460434")</f>
        <v>01711460434</v>
      </c>
      <c r="N23" s="5" t="s">
        <v>92</v>
      </c>
      <c r="O23" s="5" t="s">
        <v>88</v>
      </c>
      <c r="P23" s="6">
        <v>43964</v>
      </c>
      <c r="Q23" s="5" t="s">
        <v>31</v>
      </c>
      <c r="R23" s="5" t="s">
        <v>39</v>
      </c>
      <c r="S23" s="5" t="s">
        <v>33</v>
      </c>
      <c r="T23" s="5"/>
      <c r="U23" s="7">
        <v>2445.16</v>
      </c>
      <c r="V23" s="7">
        <v>1054.3499999999999</v>
      </c>
      <c r="W23" s="5">
        <v>973.66</v>
      </c>
      <c r="X23" s="5">
        <v>0</v>
      </c>
      <c r="Y23" s="5">
        <v>417.15</v>
      </c>
    </row>
    <row r="24" spans="1:25" x14ac:dyDescent="0.25">
      <c r="A24" s="5" t="s">
        <v>26</v>
      </c>
      <c r="B24" s="5" t="s">
        <v>37</v>
      </c>
      <c r="C24" s="5" t="s">
        <v>46</v>
      </c>
      <c r="D24" s="5" t="s">
        <v>68</v>
      </c>
      <c r="E24" s="5" t="s">
        <v>41</v>
      </c>
      <c r="F24" s="5" t="s">
        <v>93</v>
      </c>
      <c r="G24" s="5">
        <v>2019</v>
      </c>
      <c r="H24" s="5" t="str">
        <f>CONCATENATE("94240857501")</f>
        <v>94240857501</v>
      </c>
      <c r="I24" s="5" t="s">
        <v>35</v>
      </c>
      <c r="J24" s="5" t="s">
        <v>30</v>
      </c>
      <c r="K24" s="5" t="str">
        <f>CONCATENATE("")</f>
        <v/>
      </c>
      <c r="L24" s="5" t="str">
        <f>CONCATENATE("14 14.1 3a")</f>
        <v>14 14.1 3a</v>
      </c>
      <c r="M24" s="5" t="str">
        <f>CONCATENATE("00878080431")</f>
        <v>00878080431</v>
      </c>
      <c r="N24" s="5" t="s">
        <v>94</v>
      </c>
      <c r="O24" s="5" t="s">
        <v>88</v>
      </c>
      <c r="P24" s="6">
        <v>43964</v>
      </c>
      <c r="Q24" s="5" t="s">
        <v>31</v>
      </c>
      <c r="R24" s="5" t="s">
        <v>39</v>
      </c>
      <c r="S24" s="5" t="s">
        <v>33</v>
      </c>
      <c r="T24" s="5"/>
      <c r="U24" s="7">
        <v>9680.31</v>
      </c>
      <c r="V24" s="7">
        <v>4174.1499999999996</v>
      </c>
      <c r="W24" s="7">
        <v>3854.7</v>
      </c>
      <c r="X24" s="5">
        <v>0</v>
      </c>
      <c r="Y24" s="7">
        <v>1651.46</v>
      </c>
    </row>
    <row r="25" spans="1:25" ht="24.75" x14ac:dyDescent="0.25">
      <c r="A25" s="5" t="s">
        <v>26</v>
      </c>
      <c r="B25" s="5" t="s">
        <v>37</v>
      </c>
      <c r="C25" s="5" t="s">
        <v>46</v>
      </c>
      <c r="D25" s="5" t="s">
        <v>47</v>
      </c>
      <c r="E25" s="5" t="s">
        <v>40</v>
      </c>
      <c r="F25" s="5" t="s">
        <v>80</v>
      </c>
      <c r="G25" s="5">
        <v>2019</v>
      </c>
      <c r="H25" s="5" t="str">
        <f>CONCATENATE("94780018878")</f>
        <v>94780018878</v>
      </c>
      <c r="I25" s="5" t="s">
        <v>35</v>
      </c>
      <c r="J25" s="5" t="s">
        <v>38</v>
      </c>
      <c r="K25" s="5" t="str">
        <f>CONCATENATE("221")</f>
        <v>221</v>
      </c>
      <c r="L25" s="5" t="str">
        <f>CONCATENATE("8 8.1 5e")</f>
        <v>8 8.1 5e</v>
      </c>
      <c r="M25" s="5" t="str">
        <f>CONCATENATE("01143960423")</f>
        <v>01143960423</v>
      </c>
      <c r="N25" s="5" t="s">
        <v>95</v>
      </c>
      <c r="O25" s="5" t="s">
        <v>73</v>
      </c>
      <c r="P25" s="6">
        <v>43965</v>
      </c>
      <c r="Q25" s="5" t="s">
        <v>31</v>
      </c>
      <c r="R25" s="5" t="s">
        <v>39</v>
      </c>
      <c r="S25" s="5" t="s">
        <v>33</v>
      </c>
      <c r="T25" s="5"/>
      <c r="U25" s="5">
        <v>363</v>
      </c>
      <c r="V25" s="5">
        <v>156.53</v>
      </c>
      <c r="W25" s="5">
        <v>144.55000000000001</v>
      </c>
      <c r="X25" s="5">
        <v>0</v>
      </c>
      <c r="Y25" s="5">
        <v>61.92</v>
      </c>
    </row>
    <row r="26" spans="1:25" ht="24.75" x14ac:dyDescent="0.25">
      <c r="A26" s="5" t="s">
        <v>26</v>
      </c>
      <c r="B26" s="5" t="s">
        <v>37</v>
      </c>
      <c r="C26" s="5" t="s">
        <v>46</v>
      </c>
      <c r="D26" s="5" t="s">
        <v>47</v>
      </c>
      <c r="E26" s="5" t="s">
        <v>41</v>
      </c>
      <c r="F26" s="5" t="s">
        <v>96</v>
      </c>
      <c r="G26" s="5">
        <v>2019</v>
      </c>
      <c r="H26" s="5" t="str">
        <f>CONCATENATE("94780030998")</f>
        <v>94780030998</v>
      </c>
      <c r="I26" s="5" t="s">
        <v>35</v>
      </c>
      <c r="J26" s="5" t="s">
        <v>38</v>
      </c>
      <c r="K26" s="5" t="str">
        <f>CONCATENATE("221")</f>
        <v>221</v>
      </c>
      <c r="L26" s="5" t="str">
        <f>CONCATENATE("8 8.1 5e")</f>
        <v>8 8.1 5e</v>
      </c>
      <c r="M26" s="5" t="str">
        <f>CONCATENATE("02372530424")</f>
        <v>02372530424</v>
      </c>
      <c r="N26" s="5" t="s">
        <v>97</v>
      </c>
      <c r="O26" s="5" t="s">
        <v>73</v>
      </c>
      <c r="P26" s="6">
        <v>43965</v>
      </c>
      <c r="Q26" s="5" t="s">
        <v>31</v>
      </c>
      <c r="R26" s="5" t="s">
        <v>39</v>
      </c>
      <c r="S26" s="5" t="s">
        <v>33</v>
      </c>
      <c r="T26" s="5"/>
      <c r="U26" s="5">
        <v>993.46</v>
      </c>
      <c r="V26" s="5">
        <v>428.38</v>
      </c>
      <c r="W26" s="5">
        <v>395.6</v>
      </c>
      <c r="X26" s="5">
        <v>0</v>
      </c>
      <c r="Y26" s="5">
        <v>169.48</v>
      </c>
    </row>
    <row r="27" spans="1:25" ht="24.75" x14ac:dyDescent="0.25">
      <c r="A27" s="5" t="s">
        <v>26</v>
      </c>
      <c r="B27" s="5" t="s">
        <v>37</v>
      </c>
      <c r="C27" s="5" t="s">
        <v>46</v>
      </c>
      <c r="D27" s="5" t="s">
        <v>51</v>
      </c>
      <c r="E27" s="5" t="s">
        <v>40</v>
      </c>
      <c r="F27" s="5" t="s">
        <v>98</v>
      </c>
      <c r="G27" s="5">
        <v>2019</v>
      </c>
      <c r="H27" s="5" t="str">
        <f>CONCATENATE("94240634926")</f>
        <v>94240634926</v>
      </c>
      <c r="I27" s="5" t="s">
        <v>35</v>
      </c>
      <c r="J27" s="5" t="s">
        <v>30</v>
      </c>
      <c r="K27" s="5" t="str">
        <f>CONCATENATE("")</f>
        <v/>
      </c>
      <c r="L27" s="5" t="str">
        <f>CONCATENATE("14 14.1 3a")</f>
        <v>14 14.1 3a</v>
      </c>
      <c r="M27" s="5" t="str">
        <f>CONCATENATE("GSTFRC74M11D488L")</f>
        <v>GSTFRC74M11D488L</v>
      </c>
      <c r="N27" s="5" t="s">
        <v>99</v>
      </c>
      <c r="O27" s="5" t="s">
        <v>88</v>
      </c>
      <c r="P27" s="6">
        <v>43964</v>
      </c>
      <c r="Q27" s="5" t="s">
        <v>31</v>
      </c>
      <c r="R27" s="5" t="s">
        <v>39</v>
      </c>
      <c r="S27" s="5" t="s">
        <v>33</v>
      </c>
      <c r="T27" s="5"/>
      <c r="U27" s="7">
        <v>1559.01</v>
      </c>
      <c r="V27" s="5">
        <v>672.25</v>
      </c>
      <c r="W27" s="5">
        <v>620.79999999999995</v>
      </c>
      <c r="X27" s="5">
        <v>0</v>
      </c>
      <c r="Y27" s="5">
        <v>265.95999999999998</v>
      </c>
    </row>
    <row r="28" spans="1:25" ht="24.75" x14ac:dyDescent="0.25">
      <c r="A28" s="5" t="s">
        <v>26</v>
      </c>
      <c r="B28" s="5" t="s">
        <v>37</v>
      </c>
      <c r="C28" s="5" t="s">
        <v>46</v>
      </c>
      <c r="D28" s="5" t="s">
        <v>47</v>
      </c>
      <c r="E28" s="5" t="s">
        <v>41</v>
      </c>
      <c r="F28" s="5" t="s">
        <v>100</v>
      </c>
      <c r="G28" s="5">
        <v>2019</v>
      </c>
      <c r="H28" s="5" t="str">
        <f>CONCATENATE("94240434723")</f>
        <v>94240434723</v>
      </c>
      <c r="I28" s="5" t="s">
        <v>35</v>
      </c>
      <c r="J28" s="5" t="s">
        <v>30</v>
      </c>
      <c r="K28" s="5" t="str">
        <f>CONCATENATE("")</f>
        <v/>
      </c>
      <c r="L28" s="5" t="str">
        <f>CONCATENATE("14 14.1 3a")</f>
        <v>14 14.1 3a</v>
      </c>
      <c r="M28" s="5" t="str">
        <f>CONCATENATE("02395070424")</f>
        <v>02395070424</v>
      </c>
      <c r="N28" s="5" t="s">
        <v>101</v>
      </c>
      <c r="O28" s="5" t="s">
        <v>88</v>
      </c>
      <c r="P28" s="6">
        <v>43964</v>
      </c>
      <c r="Q28" s="5" t="s">
        <v>31</v>
      </c>
      <c r="R28" s="5" t="s">
        <v>39</v>
      </c>
      <c r="S28" s="5" t="s">
        <v>33</v>
      </c>
      <c r="T28" s="5"/>
      <c r="U28" s="7">
        <v>1446</v>
      </c>
      <c r="V28" s="5">
        <v>623.52</v>
      </c>
      <c r="W28" s="5">
        <v>575.79999999999995</v>
      </c>
      <c r="X28" s="5">
        <v>0</v>
      </c>
      <c r="Y28" s="5">
        <v>246.68</v>
      </c>
    </row>
    <row r="29" spans="1:25" ht="24.75" x14ac:dyDescent="0.25">
      <c r="A29" s="5" t="s">
        <v>26</v>
      </c>
      <c r="B29" s="5" t="s">
        <v>37</v>
      </c>
      <c r="C29" s="5" t="s">
        <v>46</v>
      </c>
      <c r="D29" s="5" t="s">
        <v>47</v>
      </c>
      <c r="E29" s="5" t="s">
        <v>41</v>
      </c>
      <c r="F29" s="5" t="s">
        <v>100</v>
      </c>
      <c r="G29" s="5">
        <v>2019</v>
      </c>
      <c r="H29" s="5" t="str">
        <f>CONCATENATE("94240430655")</f>
        <v>94240430655</v>
      </c>
      <c r="I29" s="5" t="s">
        <v>35</v>
      </c>
      <c r="J29" s="5" t="s">
        <v>30</v>
      </c>
      <c r="K29" s="5" t="str">
        <f>CONCATENATE("")</f>
        <v/>
      </c>
      <c r="L29" s="5" t="str">
        <f>CONCATENATE("14 14.1 3a")</f>
        <v>14 14.1 3a</v>
      </c>
      <c r="M29" s="5" t="str">
        <f>CONCATENATE("TRCFBA65S20A329C")</f>
        <v>TRCFBA65S20A329C</v>
      </c>
      <c r="N29" s="5" t="s">
        <v>102</v>
      </c>
      <c r="O29" s="5" t="s">
        <v>88</v>
      </c>
      <c r="P29" s="6">
        <v>43964</v>
      </c>
      <c r="Q29" s="5" t="s">
        <v>31</v>
      </c>
      <c r="R29" s="5" t="s">
        <v>39</v>
      </c>
      <c r="S29" s="5" t="s">
        <v>33</v>
      </c>
      <c r="T29" s="5"/>
      <c r="U29" s="5">
        <v>936</v>
      </c>
      <c r="V29" s="5">
        <v>403.6</v>
      </c>
      <c r="W29" s="5">
        <v>372.72</v>
      </c>
      <c r="X29" s="5">
        <v>0</v>
      </c>
      <c r="Y29" s="5">
        <v>159.68</v>
      </c>
    </row>
    <row r="30" spans="1:25" ht="24.75" x14ac:dyDescent="0.25">
      <c r="A30" s="5" t="s">
        <v>26</v>
      </c>
      <c r="B30" s="5" t="s">
        <v>37</v>
      </c>
      <c r="C30" s="5" t="s">
        <v>46</v>
      </c>
      <c r="D30" s="5" t="s">
        <v>51</v>
      </c>
      <c r="E30" s="5" t="s">
        <v>41</v>
      </c>
      <c r="F30" s="5" t="s">
        <v>103</v>
      </c>
      <c r="G30" s="5">
        <v>2019</v>
      </c>
      <c r="H30" s="5" t="str">
        <f>CONCATENATE("94240091432")</f>
        <v>94240091432</v>
      </c>
      <c r="I30" s="5" t="s">
        <v>35</v>
      </c>
      <c r="J30" s="5" t="s">
        <v>30</v>
      </c>
      <c r="K30" s="5" t="str">
        <f>CONCATENATE("")</f>
        <v/>
      </c>
      <c r="L30" s="5" t="str">
        <f>CONCATENATE("14 14.1 3a")</f>
        <v>14 14.1 3a</v>
      </c>
      <c r="M30" s="5" t="str">
        <f>CONCATENATE("01438640417")</f>
        <v>01438640417</v>
      </c>
      <c r="N30" s="5" t="s">
        <v>104</v>
      </c>
      <c r="O30" s="5" t="s">
        <v>88</v>
      </c>
      <c r="P30" s="6">
        <v>43964</v>
      </c>
      <c r="Q30" s="5" t="s">
        <v>31</v>
      </c>
      <c r="R30" s="5" t="s">
        <v>39</v>
      </c>
      <c r="S30" s="5" t="s">
        <v>33</v>
      </c>
      <c r="T30" s="5"/>
      <c r="U30" s="7">
        <v>2055.5100000000002</v>
      </c>
      <c r="V30" s="5">
        <v>886.34</v>
      </c>
      <c r="W30" s="5">
        <v>818.5</v>
      </c>
      <c r="X30" s="5">
        <v>0</v>
      </c>
      <c r="Y30" s="5">
        <v>350.67</v>
      </c>
    </row>
    <row r="31" spans="1:25" ht="24.75" x14ac:dyDescent="0.25">
      <c r="A31" s="5" t="s">
        <v>26</v>
      </c>
      <c r="B31" s="5" t="s">
        <v>37</v>
      </c>
      <c r="C31" s="5" t="s">
        <v>46</v>
      </c>
      <c r="D31" s="5" t="s">
        <v>47</v>
      </c>
      <c r="E31" s="5" t="s">
        <v>40</v>
      </c>
      <c r="F31" s="5" t="s">
        <v>105</v>
      </c>
      <c r="G31" s="5">
        <v>2019</v>
      </c>
      <c r="H31" s="5" t="str">
        <f>CONCATENATE("94241036360")</f>
        <v>94241036360</v>
      </c>
      <c r="I31" s="5" t="s">
        <v>35</v>
      </c>
      <c r="J31" s="5" t="s">
        <v>30</v>
      </c>
      <c r="K31" s="5" t="str">
        <f>CONCATENATE("")</f>
        <v/>
      </c>
      <c r="L31" s="5" t="str">
        <f>CONCATENATE("14 14.1 3a")</f>
        <v>14 14.1 3a</v>
      </c>
      <c r="M31" s="5" t="str">
        <f>CONCATENATE("PCCDNL82T29D451P")</f>
        <v>PCCDNL82T29D451P</v>
      </c>
      <c r="N31" s="5" t="s">
        <v>106</v>
      </c>
      <c r="O31" s="5" t="s">
        <v>88</v>
      </c>
      <c r="P31" s="6">
        <v>43964</v>
      </c>
      <c r="Q31" s="5" t="s">
        <v>31</v>
      </c>
      <c r="R31" s="5" t="s">
        <v>39</v>
      </c>
      <c r="S31" s="5" t="s">
        <v>33</v>
      </c>
      <c r="T31" s="5"/>
      <c r="U31" s="7">
        <v>2940</v>
      </c>
      <c r="V31" s="7">
        <v>1267.73</v>
      </c>
      <c r="W31" s="7">
        <v>1170.71</v>
      </c>
      <c r="X31" s="5">
        <v>0</v>
      </c>
      <c r="Y31" s="5">
        <v>501.56</v>
      </c>
    </row>
    <row r="32" spans="1:25" ht="24.75" x14ac:dyDescent="0.25">
      <c r="A32" s="5" t="s">
        <v>26</v>
      </c>
      <c r="B32" s="5" t="s">
        <v>37</v>
      </c>
      <c r="C32" s="5" t="s">
        <v>46</v>
      </c>
      <c r="D32" s="5" t="s">
        <v>51</v>
      </c>
      <c r="E32" s="5" t="s">
        <v>43</v>
      </c>
      <c r="F32" s="5" t="s">
        <v>107</v>
      </c>
      <c r="G32" s="5">
        <v>2019</v>
      </c>
      <c r="H32" s="5" t="str">
        <f>CONCATENATE("94240328271")</f>
        <v>94240328271</v>
      </c>
      <c r="I32" s="5" t="s">
        <v>35</v>
      </c>
      <c r="J32" s="5" t="s">
        <v>30</v>
      </c>
      <c r="K32" s="5" t="str">
        <f>CONCATENATE("")</f>
        <v/>
      </c>
      <c r="L32" s="5" t="str">
        <f>CONCATENATE("14 14.1 3a")</f>
        <v>14 14.1 3a</v>
      </c>
      <c r="M32" s="5" t="str">
        <f>CONCATENATE("CLNNRC83M16I459C")</f>
        <v>CLNNRC83M16I459C</v>
      </c>
      <c r="N32" s="5" t="s">
        <v>108</v>
      </c>
      <c r="O32" s="5" t="s">
        <v>88</v>
      </c>
      <c r="P32" s="6">
        <v>43964</v>
      </c>
      <c r="Q32" s="5" t="s">
        <v>31</v>
      </c>
      <c r="R32" s="5" t="s">
        <v>39</v>
      </c>
      <c r="S32" s="5" t="s">
        <v>33</v>
      </c>
      <c r="T32" s="5"/>
      <c r="U32" s="7">
        <v>2611.59</v>
      </c>
      <c r="V32" s="7">
        <v>1126.1199999999999</v>
      </c>
      <c r="W32" s="7">
        <v>1039.94</v>
      </c>
      <c r="X32" s="5">
        <v>0</v>
      </c>
      <c r="Y32" s="5">
        <v>445.53</v>
      </c>
    </row>
    <row r="33" spans="1:25" ht="24.75" x14ac:dyDescent="0.25">
      <c r="A33" s="5" t="s">
        <v>26</v>
      </c>
      <c r="B33" s="5" t="s">
        <v>37</v>
      </c>
      <c r="C33" s="5" t="s">
        <v>46</v>
      </c>
      <c r="D33" s="5" t="s">
        <v>51</v>
      </c>
      <c r="E33" s="5" t="s">
        <v>40</v>
      </c>
      <c r="F33" s="5" t="s">
        <v>98</v>
      </c>
      <c r="G33" s="5">
        <v>2019</v>
      </c>
      <c r="H33" s="5" t="str">
        <f>CONCATENATE("94240695968")</f>
        <v>94240695968</v>
      </c>
      <c r="I33" s="5" t="s">
        <v>35</v>
      </c>
      <c r="J33" s="5" t="s">
        <v>30</v>
      </c>
      <c r="K33" s="5" t="str">
        <f>CONCATENATE("")</f>
        <v/>
      </c>
      <c r="L33" s="5" t="str">
        <f>CONCATENATE("14 14.1 3a")</f>
        <v>14 14.1 3a</v>
      </c>
      <c r="M33" s="5" t="str">
        <f>CONCATENATE("02393300419")</f>
        <v>02393300419</v>
      </c>
      <c r="N33" s="5" t="s">
        <v>109</v>
      </c>
      <c r="O33" s="5" t="s">
        <v>88</v>
      </c>
      <c r="P33" s="6">
        <v>43964</v>
      </c>
      <c r="Q33" s="5" t="s">
        <v>31</v>
      </c>
      <c r="R33" s="5" t="s">
        <v>39</v>
      </c>
      <c r="S33" s="5" t="s">
        <v>33</v>
      </c>
      <c r="T33" s="5"/>
      <c r="U33" s="7">
        <v>3624.45</v>
      </c>
      <c r="V33" s="7">
        <v>1562.86</v>
      </c>
      <c r="W33" s="7">
        <v>1443.26</v>
      </c>
      <c r="X33" s="5">
        <v>0</v>
      </c>
      <c r="Y33" s="5">
        <v>618.33000000000004</v>
      </c>
    </row>
    <row r="34" spans="1:25" ht="24.75" x14ac:dyDescent="0.25">
      <c r="A34" s="5" t="s">
        <v>26</v>
      </c>
      <c r="B34" s="5" t="s">
        <v>37</v>
      </c>
      <c r="C34" s="5" t="s">
        <v>46</v>
      </c>
      <c r="D34" s="5" t="s">
        <v>51</v>
      </c>
      <c r="E34" s="5" t="s">
        <v>40</v>
      </c>
      <c r="F34" s="5" t="s">
        <v>98</v>
      </c>
      <c r="G34" s="5">
        <v>2019</v>
      </c>
      <c r="H34" s="5" t="str">
        <f>CONCATENATE("94240157316")</f>
        <v>94240157316</v>
      </c>
      <c r="I34" s="5" t="s">
        <v>35</v>
      </c>
      <c r="J34" s="5" t="s">
        <v>30</v>
      </c>
      <c r="K34" s="5" t="str">
        <f>CONCATENATE("")</f>
        <v/>
      </c>
      <c r="L34" s="5" t="str">
        <f>CONCATENATE("14 14.1 3a")</f>
        <v>14 14.1 3a</v>
      </c>
      <c r="M34" s="5" t="str">
        <f>CONCATENATE("FRRMTT86A19F137A")</f>
        <v>FRRMTT86A19F137A</v>
      </c>
      <c r="N34" s="5" t="s">
        <v>110</v>
      </c>
      <c r="O34" s="5" t="s">
        <v>88</v>
      </c>
      <c r="P34" s="6">
        <v>43964</v>
      </c>
      <c r="Q34" s="5" t="s">
        <v>31</v>
      </c>
      <c r="R34" s="5" t="s">
        <v>39</v>
      </c>
      <c r="S34" s="5" t="s">
        <v>33</v>
      </c>
      <c r="T34" s="5"/>
      <c r="U34" s="5">
        <v>875.83</v>
      </c>
      <c r="V34" s="5">
        <v>377.66</v>
      </c>
      <c r="W34" s="5">
        <v>348.76</v>
      </c>
      <c r="X34" s="5">
        <v>0</v>
      </c>
      <c r="Y34" s="5">
        <v>149.41</v>
      </c>
    </row>
    <row r="35" spans="1:25" x14ac:dyDescent="0.25">
      <c r="A35" s="5" t="s">
        <v>26</v>
      </c>
      <c r="B35" s="5" t="s">
        <v>37</v>
      </c>
      <c r="C35" s="5" t="s">
        <v>46</v>
      </c>
      <c r="D35" s="5" t="s">
        <v>68</v>
      </c>
      <c r="E35" s="5" t="s">
        <v>41</v>
      </c>
      <c r="F35" s="5" t="s">
        <v>111</v>
      </c>
      <c r="G35" s="5">
        <v>2019</v>
      </c>
      <c r="H35" s="5" t="str">
        <f>CONCATENATE("94240967060")</f>
        <v>94240967060</v>
      </c>
      <c r="I35" s="5" t="s">
        <v>35</v>
      </c>
      <c r="J35" s="5" t="s">
        <v>30</v>
      </c>
      <c r="K35" s="5" t="str">
        <f>CONCATENATE("")</f>
        <v/>
      </c>
      <c r="L35" s="5" t="str">
        <f>CONCATENATE("14 14.1 3a")</f>
        <v>14 14.1 3a</v>
      </c>
      <c r="M35" s="5" t="str">
        <f>CONCATENATE("MRZFNC54M08F622K")</f>
        <v>MRZFNC54M08F622K</v>
      </c>
      <c r="N35" s="5" t="s">
        <v>112</v>
      </c>
      <c r="O35" s="5" t="s">
        <v>88</v>
      </c>
      <c r="P35" s="6">
        <v>43964</v>
      </c>
      <c r="Q35" s="5" t="s">
        <v>31</v>
      </c>
      <c r="R35" s="5" t="s">
        <v>39</v>
      </c>
      <c r="S35" s="5" t="s">
        <v>33</v>
      </c>
      <c r="T35" s="5"/>
      <c r="U35" s="5">
        <v>861.84</v>
      </c>
      <c r="V35" s="5">
        <v>371.63</v>
      </c>
      <c r="W35" s="5">
        <v>343.18</v>
      </c>
      <c r="X35" s="5">
        <v>0</v>
      </c>
      <c r="Y35" s="5">
        <v>147.03</v>
      </c>
    </row>
    <row r="36" spans="1:25" ht="24.75" x14ac:dyDescent="0.25">
      <c r="A36" s="5" t="s">
        <v>26</v>
      </c>
      <c r="B36" s="5" t="s">
        <v>37</v>
      </c>
      <c r="C36" s="5" t="s">
        <v>46</v>
      </c>
      <c r="D36" s="5" t="s">
        <v>51</v>
      </c>
      <c r="E36" s="5" t="s">
        <v>34</v>
      </c>
      <c r="F36" s="5" t="s">
        <v>66</v>
      </c>
      <c r="G36" s="5">
        <v>2019</v>
      </c>
      <c r="H36" s="5" t="str">
        <f>CONCATENATE("94240996903")</f>
        <v>94240996903</v>
      </c>
      <c r="I36" s="5" t="s">
        <v>35</v>
      </c>
      <c r="J36" s="5" t="s">
        <v>30</v>
      </c>
      <c r="K36" s="5" t="str">
        <f>CONCATENATE("")</f>
        <v/>
      </c>
      <c r="L36" s="5" t="str">
        <f>CONCATENATE("14 14.1 3a")</f>
        <v>14 14.1 3a</v>
      </c>
      <c r="M36" s="5" t="str">
        <f>CONCATENATE("01334220413")</f>
        <v>01334220413</v>
      </c>
      <c r="N36" s="5" t="s">
        <v>113</v>
      </c>
      <c r="O36" s="5" t="s">
        <v>88</v>
      </c>
      <c r="P36" s="6">
        <v>43964</v>
      </c>
      <c r="Q36" s="5" t="s">
        <v>31</v>
      </c>
      <c r="R36" s="5" t="s">
        <v>39</v>
      </c>
      <c r="S36" s="5" t="s">
        <v>33</v>
      </c>
      <c r="T36" s="5"/>
      <c r="U36" s="7">
        <v>1273.45</v>
      </c>
      <c r="V36" s="5">
        <v>549.11</v>
      </c>
      <c r="W36" s="5">
        <v>507.09</v>
      </c>
      <c r="X36" s="5">
        <v>0</v>
      </c>
      <c r="Y36" s="5">
        <v>217.25</v>
      </c>
    </row>
    <row r="37" spans="1:25" ht="24.75" x14ac:dyDescent="0.25">
      <c r="A37" s="5" t="s">
        <v>26</v>
      </c>
      <c r="B37" s="5" t="s">
        <v>37</v>
      </c>
      <c r="C37" s="5" t="s">
        <v>46</v>
      </c>
      <c r="D37" s="5" t="s">
        <v>51</v>
      </c>
      <c r="E37" s="5" t="s">
        <v>44</v>
      </c>
      <c r="F37" s="5" t="s">
        <v>114</v>
      </c>
      <c r="G37" s="5">
        <v>2019</v>
      </c>
      <c r="H37" s="5" t="str">
        <f>CONCATENATE("94240509607")</f>
        <v>94240509607</v>
      </c>
      <c r="I37" s="5" t="s">
        <v>35</v>
      </c>
      <c r="J37" s="5" t="s">
        <v>30</v>
      </c>
      <c r="K37" s="5" t="str">
        <f>CONCATENATE("")</f>
        <v/>
      </c>
      <c r="L37" s="5" t="str">
        <f>CONCATENATE("14 14.1 3a")</f>
        <v>14 14.1 3a</v>
      </c>
      <c r="M37" s="5" t="str">
        <f>CONCATENATE("02615600414")</f>
        <v>02615600414</v>
      </c>
      <c r="N37" s="5" t="s">
        <v>115</v>
      </c>
      <c r="O37" s="5" t="s">
        <v>88</v>
      </c>
      <c r="P37" s="6">
        <v>43964</v>
      </c>
      <c r="Q37" s="5" t="s">
        <v>31</v>
      </c>
      <c r="R37" s="5" t="s">
        <v>39</v>
      </c>
      <c r="S37" s="5" t="s">
        <v>33</v>
      </c>
      <c r="T37" s="5"/>
      <c r="U37" s="7">
        <v>7160</v>
      </c>
      <c r="V37" s="7">
        <v>3087.39</v>
      </c>
      <c r="W37" s="7">
        <v>2851.11</v>
      </c>
      <c r="X37" s="5">
        <v>0</v>
      </c>
      <c r="Y37" s="7">
        <v>1221.5</v>
      </c>
    </row>
    <row r="38" spans="1:25" ht="24.75" x14ac:dyDescent="0.25">
      <c r="A38" s="5" t="s">
        <v>26</v>
      </c>
      <c r="B38" s="5" t="s">
        <v>37</v>
      </c>
      <c r="C38" s="5" t="s">
        <v>46</v>
      </c>
      <c r="D38" s="5" t="s">
        <v>47</v>
      </c>
      <c r="E38" s="5" t="s">
        <v>40</v>
      </c>
      <c r="F38" s="5" t="s">
        <v>105</v>
      </c>
      <c r="G38" s="5">
        <v>2019</v>
      </c>
      <c r="H38" s="5" t="str">
        <f>CONCATENATE("94241024507")</f>
        <v>94241024507</v>
      </c>
      <c r="I38" s="5" t="s">
        <v>35</v>
      </c>
      <c r="J38" s="5" t="s">
        <v>30</v>
      </c>
      <c r="K38" s="5" t="str">
        <f>CONCATENATE("")</f>
        <v/>
      </c>
      <c r="L38" s="5" t="str">
        <f>CONCATENATE("14 14.1 3a")</f>
        <v>14 14.1 3a</v>
      </c>
      <c r="M38" s="5" t="str">
        <f>CONCATENATE("MRUSVT68R14A978E")</f>
        <v>MRUSVT68R14A978E</v>
      </c>
      <c r="N38" s="5" t="s">
        <v>116</v>
      </c>
      <c r="O38" s="5" t="s">
        <v>88</v>
      </c>
      <c r="P38" s="6">
        <v>43964</v>
      </c>
      <c r="Q38" s="5" t="s">
        <v>31</v>
      </c>
      <c r="R38" s="5" t="s">
        <v>39</v>
      </c>
      <c r="S38" s="5" t="s">
        <v>33</v>
      </c>
      <c r="T38" s="5"/>
      <c r="U38" s="7">
        <v>1012.86</v>
      </c>
      <c r="V38" s="5">
        <v>436.75</v>
      </c>
      <c r="W38" s="5">
        <v>403.32</v>
      </c>
      <c r="X38" s="5">
        <v>0</v>
      </c>
      <c r="Y38" s="5">
        <v>172.79</v>
      </c>
    </row>
    <row r="39" spans="1:25" ht="24.75" x14ac:dyDescent="0.25">
      <c r="A39" s="5" t="s">
        <v>26</v>
      </c>
      <c r="B39" s="5" t="s">
        <v>37</v>
      </c>
      <c r="C39" s="5" t="s">
        <v>46</v>
      </c>
      <c r="D39" s="5" t="s">
        <v>47</v>
      </c>
      <c r="E39" s="5" t="s">
        <v>41</v>
      </c>
      <c r="F39" s="5" t="s">
        <v>100</v>
      </c>
      <c r="G39" s="5">
        <v>2019</v>
      </c>
      <c r="H39" s="5" t="str">
        <f>CONCATENATE("94240235799")</f>
        <v>94240235799</v>
      </c>
      <c r="I39" s="5" t="s">
        <v>35</v>
      </c>
      <c r="J39" s="5" t="s">
        <v>30</v>
      </c>
      <c r="K39" s="5" t="str">
        <f>CONCATENATE("")</f>
        <v/>
      </c>
      <c r="L39" s="5" t="str">
        <f>CONCATENATE("14 14.1 3a")</f>
        <v>14 14.1 3a</v>
      </c>
      <c r="M39" s="5" t="str">
        <f>CONCATENATE("RPNMRK79T31B474M")</f>
        <v>RPNMRK79T31B474M</v>
      </c>
      <c r="N39" s="5" t="s">
        <v>117</v>
      </c>
      <c r="O39" s="5" t="s">
        <v>88</v>
      </c>
      <c r="P39" s="6">
        <v>43964</v>
      </c>
      <c r="Q39" s="5" t="s">
        <v>31</v>
      </c>
      <c r="R39" s="5" t="s">
        <v>39</v>
      </c>
      <c r="S39" s="5" t="s">
        <v>33</v>
      </c>
      <c r="T39" s="5"/>
      <c r="U39" s="7">
        <v>1488.98</v>
      </c>
      <c r="V39" s="5">
        <v>642.04999999999995</v>
      </c>
      <c r="W39" s="5">
        <v>592.91</v>
      </c>
      <c r="X39" s="5">
        <v>0</v>
      </c>
      <c r="Y39" s="5">
        <v>254.02</v>
      </c>
    </row>
    <row r="40" spans="1:25" x14ac:dyDescent="0.25">
      <c r="A40" s="5" t="s">
        <v>26</v>
      </c>
      <c r="B40" s="5" t="s">
        <v>37</v>
      </c>
      <c r="C40" s="5" t="s">
        <v>46</v>
      </c>
      <c r="D40" s="5" t="s">
        <v>68</v>
      </c>
      <c r="E40" s="5" t="s">
        <v>34</v>
      </c>
      <c r="F40" s="5" t="s">
        <v>118</v>
      </c>
      <c r="G40" s="5">
        <v>2019</v>
      </c>
      <c r="H40" s="5" t="str">
        <f>CONCATENATE("94240785694")</f>
        <v>94240785694</v>
      </c>
      <c r="I40" s="5" t="s">
        <v>35</v>
      </c>
      <c r="J40" s="5" t="s">
        <v>30</v>
      </c>
      <c r="K40" s="5" t="str">
        <f>CONCATENATE("")</f>
        <v/>
      </c>
      <c r="L40" s="5" t="str">
        <f>CONCATENATE("14 14.1 3a")</f>
        <v>14 14.1 3a</v>
      </c>
      <c r="M40" s="5" t="str">
        <f>CONCATENATE("SNSPRZ73D59E783S")</f>
        <v>SNSPRZ73D59E783S</v>
      </c>
      <c r="N40" s="5" t="s">
        <v>119</v>
      </c>
      <c r="O40" s="5" t="s">
        <v>88</v>
      </c>
      <c r="P40" s="6">
        <v>43964</v>
      </c>
      <c r="Q40" s="5" t="s">
        <v>31</v>
      </c>
      <c r="R40" s="5" t="s">
        <v>39</v>
      </c>
      <c r="S40" s="5" t="s">
        <v>33</v>
      </c>
      <c r="T40" s="5"/>
      <c r="U40" s="7">
        <v>1456.44</v>
      </c>
      <c r="V40" s="5">
        <v>628.02</v>
      </c>
      <c r="W40" s="5">
        <v>579.95000000000005</v>
      </c>
      <c r="X40" s="5">
        <v>0</v>
      </c>
      <c r="Y40" s="5">
        <v>248.47</v>
      </c>
    </row>
    <row r="41" spans="1:25" ht="24.75" x14ac:dyDescent="0.25">
      <c r="A41" s="5" t="s">
        <v>26</v>
      </c>
      <c r="B41" s="5" t="s">
        <v>37</v>
      </c>
      <c r="C41" s="5" t="s">
        <v>46</v>
      </c>
      <c r="D41" s="5" t="s">
        <v>51</v>
      </c>
      <c r="E41" s="5" t="s">
        <v>44</v>
      </c>
      <c r="F41" s="5" t="s">
        <v>120</v>
      </c>
      <c r="G41" s="5">
        <v>2019</v>
      </c>
      <c r="H41" s="5" t="str">
        <f>CONCATENATE("94241091704")</f>
        <v>94241091704</v>
      </c>
      <c r="I41" s="5" t="s">
        <v>35</v>
      </c>
      <c r="J41" s="5" t="s">
        <v>30</v>
      </c>
      <c r="K41" s="5" t="str">
        <f>CONCATENATE("")</f>
        <v/>
      </c>
      <c r="L41" s="5" t="str">
        <f>CONCATENATE("14 14.1 3a")</f>
        <v>14 14.1 3a</v>
      </c>
      <c r="M41" s="5" t="str">
        <f>CONCATENATE("FNCFRZ69B07D749Z")</f>
        <v>FNCFRZ69B07D749Z</v>
      </c>
      <c r="N41" s="5" t="s">
        <v>121</v>
      </c>
      <c r="O41" s="5" t="s">
        <v>88</v>
      </c>
      <c r="P41" s="6">
        <v>43964</v>
      </c>
      <c r="Q41" s="5" t="s">
        <v>31</v>
      </c>
      <c r="R41" s="5" t="s">
        <v>39</v>
      </c>
      <c r="S41" s="5" t="s">
        <v>33</v>
      </c>
      <c r="T41" s="5"/>
      <c r="U41" s="7">
        <v>1290</v>
      </c>
      <c r="V41" s="5">
        <v>556.25</v>
      </c>
      <c r="W41" s="5">
        <v>513.67999999999995</v>
      </c>
      <c r="X41" s="5">
        <v>0</v>
      </c>
      <c r="Y41" s="5">
        <v>220.07</v>
      </c>
    </row>
    <row r="42" spans="1:25" ht="24.75" x14ac:dyDescent="0.25">
      <c r="A42" s="5" t="s">
        <v>26</v>
      </c>
      <c r="B42" s="5" t="s">
        <v>37</v>
      </c>
      <c r="C42" s="5" t="s">
        <v>46</v>
      </c>
      <c r="D42" s="5" t="s">
        <v>47</v>
      </c>
      <c r="E42" s="5" t="s">
        <v>40</v>
      </c>
      <c r="F42" s="5" t="s">
        <v>105</v>
      </c>
      <c r="G42" s="5">
        <v>2019</v>
      </c>
      <c r="H42" s="5" t="str">
        <f>CONCATENATE("94241024812")</f>
        <v>94241024812</v>
      </c>
      <c r="I42" s="5" t="s">
        <v>35</v>
      </c>
      <c r="J42" s="5" t="s">
        <v>30</v>
      </c>
      <c r="K42" s="5" t="str">
        <f>CONCATENATE("")</f>
        <v/>
      </c>
      <c r="L42" s="5" t="str">
        <f>CONCATENATE("14 14.1 3a")</f>
        <v>14 14.1 3a</v>
      </c>
      <c r="M42" s="5" t="str">
        <f>CONCATENATE("PTRGZN57T29A366B")</f>
        <v>PTRGZN57T29A366B</v>
      </c>
      <c r="N42" s="5" t="s">
        <v>122</v>
      </c>
      <c r="O42" s="5" t="s">
        <v>88</v>
      </c>
      <c r="P42" s="6">
        <v>43964</v>
      </c>
      <c r="Q42" s="5" t="s">
        <v>31</v>
      </c>
      <c r="R42" s="5" t="s">
        <v>39</v>
      </c>
      <c r="S42" s="5" t="s">
        <v>33</v>
      </c>
      <c r="T42" s="5"/>
      <c r="U42" s="7">
        <v>1568.94</v>
      </c>
      <c r="V42" s="5">
        <v>676.53</v>
      </c>
      <c r="W42" s="5">
        <v>624.75</v>
      </c>
      <c r="X42" s="5">
        <v>0</v>
      </c>
      <c r="Y42" s="5">
        <v>267.66000000000003</v>
      </c>
    </row>
    <row r="43" spans="1:25" ht="24.75" x14ac:dyDescent="0.25">
      <c r="A43" s="5" t="s">
        <v>26</v>
      </c>
      <c r="B43" s="5" t="s">
        <v>37</v>
      </c>
      <c r="C43" s="5" t="s">
        <v>46</v>
      </c>
      <c r="D43" s="5" t="s">
        <v>47</v>
      </c>
      <c r="E43" s="5" t="s">
        <v>41</v>
      </c>
      <c r="F43" s="5" t="s">
        <v>123</v>
      </c>
      <c r="G43" s="5">
        <v>2018</v>
      </c>
      <c r="H43" s="5" t="str">
        <f>CONCATENATE("84240623177")</f>
        <v>84240623177</v>
      </c>
      <c r="I43" s="5" t="s">
        <v>29</v>
      </c>
      <c r="J43" s="5" t="s">
        <v>30</v>
      </c>
      <c r="K43" s="5" t="str">
        <f>CONCATENATE("")</f>
        <v/>
      </c>
      <c r="L43" s="5" t="str">
        <f>CONCATENATE("14 14.1 3a")</f>
        <v>14 14.1 3a</v>
      </c>
      <c r="M43" s="5" t="str">
        <f>CONCATENATE("SLCMTN94R64A271X")</f>
        <v>SLCMTN94R64A271X</v>
      </c>
      <c r="N43" s="5" t="s">
        <v>124</v>
      </c>
      <c r="O43" s="5" t="s">
        <v>88</v>
      </c>
      <c r="P43" s="6">
        <v>43964</v>
      </c>
      <c r="Q43" s="5" t="s">
        <v>31</v>
      </c>
      <c r="R43" s="5" t="s">
        <v>39</v>
      </c>
      <c r="S43" s="5" t="s">
        <v>33</v>
      </c>
      <c r="T43" s="5"/>
      <c r="U43" s="5">
        <v>977.4</v>
      </c>
      <c r="V43" s="5">
        <v>421.45</v>
      </c>
      <c r="W43" s="5">
        <v>389.2</v>
      </c>
      <c r="X43" s="5">
        <v>0</v>
      </c>
      <c r="Y43" s="5">
        <v>166.75</v>
      </c>
    </row>
    <row r="44" spans="1:25" ht="24.75" x14ac:dyDescent="0.25">
      <c r="A44" s="5" t="s">
        <v>26</v>
      </c>
      <c r="B44" s="5" t="s">
        <v>37</v>
      </c>
      <c r="C44" s="5" t="s">
        <v>46</v>
      </c>
      <c r="D44" s="5" t="s">
        <v>47</v>
      </c>
      <c r="E44" s="5" t="s">
        <v>41</v>
      </c>
      <c r="F44" s="5" t="s">
        <v>123</v>
      </c>
      <c r="G44" s="5">
        <v>2019</v>
      </c>
      <c r="H44" s="5" t="str">
        <f>CONCATENATE("94240561319")</f>
        <v>94240561319</v>
      </c>
      <c r="I44" s="5" t="s">
        <v>35</v>
      </c>
      <c r="J44" s="5" t="s">
        <v>30</v>
      </c>
      <c r="K44" s="5" t="str">
        <f>CONCATENATE("")</f>
        <v/>
      </c>
      <c r="L44" s="5" t="str">
        <f>CONCATENATE("14 14.1 3a")</f>
        <v>14 14.1 3a</v>
      </c>
      <c r="M44" s="5" t="str">
        <f>CONCATENATE("SLCMTN94R64A271X")</f>
        <v>SLCMTN94R64A271X</v>
      </c>
      <c r="N44" s="5" t="s">
        <v>124</v>
      </c>
      <c r="O44" s="5" t="s">
        <v>88</v>
      </c>
      <c r="P44" s="6">
        <v>43964</v>
      </c>
      <c r="Q44" s="5" t="s">
        <v>31</v>
      </c>
      <c r="R44" s="5" t="s">
        <v>39</v>
      </c>
      <c r="S44" s="5" t="s">
        <v>33</v>
      </c>
      <c r="T44" s="5"/>
      <c r="U44" s="7">
        <v>3920</v>
      </c>
      <c r="V44" s="7">
        <v>1690.3</v>
      </c>
      <c r="W44" s="7">
        <v>1560.94</v>
      </c>
      <c r="X44" s="5">
        <v>0</v>
      </c>
      <c r="Y44" s="5">
        <v>668.76</v>
      </c>
    </row>
    <row r="45" spans="1:25" ht="24.75" x14ac:dyDescent="0.25">
      <c r="A45" s="5" t="s">
        <v>26</v>
      </c>
      <c r="B45" s="5" t="s">
        <v>37</v>
      </c>
      <c r="C45" s="5" t="s">
        <v>46</v>
      </c>
      <c r="D45" s="5" t="s">
        <v>51</v>
      </c>
      <c r="E45" s="5" t="s">
        <v>40</v>
      </c>
      <c r="F45" s="5" t="s">
        <v>89</v>
      </c>
      <c r="G45" s="5">
        <v>2019</v>
      </c>
      <c r="H45" s="5" t="str">
        <f>CONCATENATE("94240379449")</f>
        <v>94240379449</v>
      </c>
      <c r="I45" s="5" t="s">
        <v>35</v>
      </c>
      <c r="J45" s="5" t="s">
        <v>30</v>
      </c>
      <c r="K45" s="5" t="str">
        <f>CONCATENATE("")</f>
        <v/>
      </c>
      <c r="L45" s="5" t="str">
        <f>CONCATENATE("14 14.1 3a")</f>
        <v>14 14.1 3a</v>
      </c>
      <c r="M45" s="5" t="str">
        <f>CONCATENATE("CLSGCR50R28F467F")</f>
        <v>CLSGCR50R28F467F</v>
      </c>
      <c r="N45" s="5" t="s">
        <v>125</v>
      </c>
      <c r="O45" s="5" t="s">
        <v>88</v>
      </c>
      <c r="P45" s="6">
        <v>43964</v>
      </c>
      <c r="Q45" s="5" t="s">
        <v>31</v>
      </c>
      <c r="R45" s="5" t="s">
        <v>39</v>
      </c>
      <c r="S45" s="5" t="s">
        <v>33</v>
      </c>
      <c r="T45" s="5"/>
      <c r="U45" s="7">
        <v>1218.75</v>
      </c>
      <c r="V45" s="5">
        <v>525.53</v>
      </c>
      <c r="W45" s="5">
        <v>485.31</v>
      </c>
      <c r="X45" s="5">
        <v>0</v>
      </c>
      <c r="Y45" s="5">
        <v>207.91</v>
      </c>
    </row>
    <row r="46" spans="1:25" ht="24.75" x14ac:dyDescent="0.25">
      <c r="A46" s="5" t="s">
        <v>26</v>
      </c>
      <c r="B46" s="5" t="s">
        <v>37</v>
      </c>
      <c r="C46" s="5" t="s">
        <v>46</v>
      </c>
      <c r="D46" s="5" t="s">
        <v>51</v>
      </c>
      <c r="E46" s="5" t="s">
        <v>41</v>
      </c>
      <c r="F46" s="5" t="s">
        <v>103</v>
      </c>
      <c r="G46" s="5">
        <v>2019</v>
      </c>
      <c r="H46" s="5" t="str">
        <f>CONCATENATE("94240375470")</f>
        <v>94240375470</v>
      </c>
      <c r="I46" s="5" t="s">
        <v>35</v>
      </c>
      <c r="J46" s="5" t="s">
        <v>30</v>
      </c>
      <c r="K46" s="5" t="str">
        <f>CONCATENATE("")</f>
        <v/>
      </c>
      <c r="L46" s="5" t="str">
        <f>CONCATENATE("14 14.1 3a")</f>
        <v>14 14.1 3a</v>
      </c>
      <c r="M46" s="5" t="str">
        <f>CONCATENATE("FRRCHR86M54B352T")</f>
        <v>FRRCHR86M54B352T</v>
      </c>
      <c r="N46" s="5" t="s">
        <v>126</v>
      </c>
      <c r="O46" s="5" t="s">
        <v>88</v>
      </c>
      <c r="P46" s="6">
        <v>43964</v>
      </c>
      <c r="Q46" s="5" t="s">
        <v>31</v>
      </c>
      <c r="R46" s="5" t="s">
        <v>39</v>
      </c>
      <c r="S46" s="5" t="s">
        <v>33</v>
      </c>
      <c r="T46" s="5"/>
      <c r="U46" s="5">
        <v>734.87</v>
      </c>
      <c r="V46" s="5">
        <v>316.88</v>
      </c>
      <c r="W46" s="5">
        <v>292.63</v>
      </c>
      <c r="X46" s="5">
        <v>0</v>
      </c>
      <c r="Y46" s="5">
        <v>125.36</v>
      </c>
    </row>
    <row r="47" spans="1:25" x14ac:dyDescent="0.25">
      <c r="A47" s="5" t="s">
        <v>26</v>
      </c>
      <c r="B47" s="5" t="s">
        <v>37</v>
      </c>
      <c r="C47" s="5" t="s">
        <v>46</v>
      </c>
      <c r="D47" s="5" t="s">
        <v>68</v>
      </c>
      <c r="E47" s="5" t="s">
        <v>34</v>
      </c>
      <c r="F47" s="5" t="s">
        <v>118</v>
      </c>
      <c r="G47" s="5">
        <v>2019</v>
      </c>
      <c r="H47" s="5" t="str">
        <f>CONCATENATE("94240785470")</f>
        <v>94240785470</v>
      </c>
      <c r="I47" s="5" t="s">
        <v>35</v>
      </c>
      <c r="J47" s="5" t="s">
        <v>30</v>
      </c>
      <c r="K47" s="5" t="str">
        <f>CONCATENATE("")</f>
        <v/>
      </c>
      <c r="L47" s="5" t="str">
        <f>CONCATENATE("14 14.1 3a")</f>
        <v>14 14.1 3a</v>
      </c>
      <c r="M47" s="5" t="str">
        <f>CONCATENATE("GGLCRN65P49C704U")</f>
        <v>GGLCRN65P49C704U</v>
      </c>
      <c r="N47" s="5" t="s">
        <v>127</v>
      </c>
      <c r="O47" s="5" t="s">
        <v>88</v>
      </c>
      <c r="P47" s="6">
        <v>43964</v>
      </c>
      <c r="Q47" s="5" t="s">
        <v>31</v>
      </c>
      <c r="R47" s="5" t="s">
        <v>39</v>
      </c>
      <c r="S47" s="5" t="s">
        <v>33</v>
      </c>
      <c r="T47" s="5"/>
      <c r="U47" s="5">
        <v>576</v>
      </c>
      <c r="V47" s="5">
        <v>248.37</v>
      </c>
      <c r="W47" s="5">
        <v>229.36</v>
      </c>
      <c r="X47" s="5">
        <v>0</v>
      </c>
      <c r="Y47" s="5">
        <v>98.27</v>
      </c>
    </row>
    <row r="48" spans="1:25" ht="24.75" x14ac:dyDescent="0.25">
      <c r="A48" s="5" t="s">
        <v>26</v>
      </c>
      <c r="B48" s="5" t="s">
        <v>37</v>
      </c>
      <c r="C48" s="5" t="s">
        <v>46</v>
      </c>
      <c r="D48" s="5" t="s">
        <v>47</v>
      </c>
      <c r="E48" s="5" t="s">
        <v>45</v>
      </c>
      <c r="F48" s="5" t="s">
        <v>128</v>
      </c>
      <c r="G48" s="5">
        <v>2019</v>
      </c>
      <c r="H48" s="5" t="str">
        <f>CONCATENATE("94240862782")</f>
        <v>94240862782</v>
      </c>
      <c r="I48" s="5" t="s">
        <v>35</v>
      </c>
      <c r="J48" s="5" t="s">
        <v>30</v>
      </c>
      <c r="K48" s="5" t="str">
        <f>CONCATENATE("")</f>
        <v/>
      </c>
      <c r="L48" s="5" t="str">
        <f>CONCATENATE("14 14.1 3a")</f>
        <v>14 14.1 3a</v>
      </c>
      <c r="M48" s="5" t="str">
        <f>CONCATENATE("RBNMLR55P50B352D")</f>
        <v>RBNMLR55P50B352D</v>
      </c>
      <c r="N48" s="5" t="s">
        <v>129</v>
      </c>
      <c r="O48" s="5" t="s">
        <v>88</v>
      </c>
      <c r="P48" s="6">
        <v>43964</v>
      </c>
      <c r="Q48" s="5" t="s">
        <v>31</v>
      </c>
      <c r="R48" s="5" t="s">
        <v>39</v>
      </c>
      <c r="S48" s="5" t="s">
        <v>33</v>
      </c>
      <c r="T48" s="5"/>
      <c r="U48" s="7">
        <v>1082.25</v>
      </c>
      <c r="V48" s="5">
        <v>466.67</v>
      </c>
      <c r="W48" s="5">
        <v>430.95</v>
      </c>
      <c r="X48" s="5">
        <v>0</v>
      </c>
      <c r="Y48" s="5">
        <v>184.63</v>
      </c>
    </row>
    <row r="49" spans="1:25" ht="24.75" x14ac:dyDescent="0.25">
      <c r="A49" s="5" t="s">
        <v>26</v>
      </c>
      <c r="B49" s="5" t="s">
        <v>37</v>
      </c>
      <c r="C49" s="5" t="s">
        <v>46</v>
      </c>
      <c r="D49" s="5" t="s">
        <v>51</v>
      </c>
      <c r="E49" s="5" t="s">
        <v>40</v>
      </c>
      <c r="F49" s="5" t="s">
        <v>130</v>
      </c>
      <c r="G49" s="5">
        <v>2019</v>
      </c>
      <c r="H49" s="5" t="str">
        <f>CONCATENATE("94240280241")</f>
        <v>94240280241</v>
      </c>
      <c r="I49" s="5" t="s">
        <v>35</v>
      </c>
      <c r="J49" s="5" t="s">
        <v>30</v>
      </c>
      <c r="K49" s="5" t="str">
        <f>CONCATENATE("")</f>
        <v/>
      </c>
      <c r="L49" s="5" t="str">
        <f>CONCATENATE("14 14.1 3a")</f>
        <v>14 14.1 3a</v>
      </c>
      <c r="M49" s="5" t="str">
        <f>CONCATENATE("CSTNTN50H12B352B")</f>
        <v>CSTNTN50H12B352B</v>
      </c>
      <c r="N49" s="5" t="s">
        <v>131</v>
      </c>
      <c r="O49" s="5" t="s">
        <v>88</v>
      </c>
      <c r="P49" s="6">
        <v>43964</v>
      </c>
      <c r="Q49" s="5" t="s">
        <v>31</v>
      </c>
      <c r="R49" s="5" t="s">
        <v>39</v>
      </c>
      <c r="S49" s="5" t="s">
        <v>33</v>
      </c>
      <c r="T49" s="5"/>
      <c r="U49" s="7">
        <v>2800.26</v>
      </c>
      <c r="V49" s="7">
        <v>1207.47</v>
      </c>
      <c r="W49" s="7">
        <v>1115.06</v>
      </c>
      <c r="X49" s="5">
        <v>0</v>
      </c>
      <c r="Y49" s="5">
        <v>477.73</v>
      </c>
    </row>
    <row r="50" spans="1:25" ht="24.75" x14ac:dyDescent="0.25">
      <c r="A50" s="5" t="s">
        <v>26</v>
      </c>
      <c r="B50" s="5" t="s">
        <v>37</v>
      </c>
      <c r="C50" s="5" t="s">
        <v>46</v>
      </c>
      <c r="D50" s="5" t="s">
        <v>51</v>
      </c>
      <c r="E50" s="5" t="s">
        <v>41</v>
      </c>
      <c r="F50" s="5" t="s">
        <v>55</v>
      </c>
      <c r="G50" s="5">
        <v>2019</v>
      </c>
      <c r="H50" s="5" t="str">
        <f>CONCATENATE("94240146038")</f>
        <v>94240146038</v>
      </c>
      <c r="I50" s="5" t="s">
        <v>35</v>
      </c>
      <c r="J50" s="5" t="s">
        <v>30</v>
      </c>
      <c r="K50" s="5" t="str">
        <f>CONCATENATE("")</f>
        <v/>
      </c>
      <c r="L50" s="5" t="str">
        <f>CONCATENATE("14 14.1 3a")</f>
        <v>14 14.1 3a</v>
      </c>
      <c r="M50" s="5" t="str">
        <f>CONCATENATE("GVGSFN62D18E785Z")</f>
        <v>GVGSFN62D18E785Z</v>
      </c>
      <c r="N50" s="5" t="s">
        <v>132</v>
      </c>
      <c r="O50" s="5" t="s">
        <v>88</v>
      </c>
      <c r="P50" s="6">
        <v>43964</v>
      </c>
      <c r="Q50" s="5" t="s">
        <v>31</v>
      </c>
      <c r="R50" s="5" t="s">
        <v>39</v>
      </c>
      <c r="S50" s="5" t="s">
        <v>33</v>
      </c>
      <c r="T50" s="5"/>
      <c r="U50" s="7">
        <v>1290.9000000000001</v>
      </c>
      <c r="V50" s="5">
        <v>556.64</v>
      </c>
      <c r="W50" s="5">
        <v>514.04</v>
      </c>
      <c r="X50" s="5">
        <v>0</v>
      </c>
      <c r="Y50" s="5">
        <v>220.22</v>
      </c>
    </row>
    <row r="51" spans="1:25" ht="24.75" x14ac:dyDescent="0.25">
      <c r="A51" s="5" t="s">
        <v>26</v>
      </c>
      <c r="B51" s="5" t="s">
        <v>37</v>
      </c>
      <c r="C51" s="5" t="s">
        <v>46</v>
      </c>
      <c r="D51" s="5" t="s">
        <v>51</v>
      </c>
      <c r="E51" s="5" t="s">
        <v>45</v>
      </c>
      <c r="F51" s="5" t="s">
        <v>128</v>
      </c>
      <c r="G51" s="5">
        <v>2019</v>
      </c>
      <c r="H51" s="5" t="str">
        <f>CONCATENATE("94240977879")</f>
        <v>94240977879</v>
      </c>
      <c r="I51" s="5" t="s">
        <v>35</v>
      </c>
      <c r="J51" s="5" t="s">
        <v>30</v>
      </c>
      <c r="K51" s="5" t="str">
        <f>CONCATENATE("")</f>
        <v/>
      </c>
      <c r="L51" s="5" t="str">
        <f>CONCATENATE("14 14.1 3a")</f>
        <v>14 14.1 3a</v>
      </c>
      <c r="M51" s="5" t="str">
        <f>CONCATENATE("PCAFLV74E25H294H")</f>
        <v>PCAFLV74E25H294H</v>
      </c>
      <c r="N51" s="5" t="s">
        <v>133</v>
      </c>
      <c r="O51" s="5" t="s">
        <v>88</v>
      </c>
      <c r="P51" s="6">
        <v>43964</v>
      </c>
      <c r="Q51" s="5" t="s">
        <v>31</v>
      </c>
      <c r="R51" s="5" t="s">
        <v>39</v>
      </c>
      <c r="S51" s="5" t="s">
        <v>33</v>
      </c>
      <c r="T51" s="5"/>
      <c r="U51" s="7">
        <v>6487.6</v>
      </c>
      <c r="V51" s="7">
        <v>2797.45</v>
      </c>
      <c r="W51" s="7">
        <v>2583.36</v>
      </c>
      <c r="X51" s="5">
        <v>0</v>
      </c>
      <c r="Y51" s="7">
        <v>1106.79</v>
      </c>
    </row>
    <row r="52" spans="1:25" ht="24.75" x14ac:dyDescent="0.25">
      <c r="A52" s="5" t="s">
        <v>26</v>
      </c>
      <c r="B52" s="5" t="s">
        <v>37</v>
      </c>
      <c r="C52" s="5" t="s">
        <v>46</v>
      </c>
      <c r="D52" s="5" t="s">
        <v>51</v>
      </c>
      <c r="E52" s="5" t="s">
        <v>40</v>
      </c>
      <c r="F52" s="5" t="s">
        <v>98</v>
      </c>
      <c r="G52" s="5">
        <v>2019</v>
      </c>
      <c r="H52" s="5" t="str">
        <f>CONCATENATE("94240158025")</f>
        <v>94240158025</v>
      </c>
      <c r="I52" s="5" t="s">
        <v>35</v>
      </c>
      <c r="J52" s="5" t="s">
        <v>30</v>
      </c>
      <c r="K52" s="5" t="str">
        <f>CONCATENATE("")</f>
        <v/>
      </c>
      <c r="L52" s="5" t="str">
        <f>CONCATENATE("14 14.1 3a")</f>
        <v>14 14.1 3a</v>
      </c>
      <c r="M52" s="5" t="str">
        <f>CONCATENATE("RSCLNZ67E25F715N")</f>
        <v>RSCLNZ67E25F715N</v>
      </c>
      <c r="N52" s="5" t="s">
        <v>134</v>
      </c>
      <c r="O52" s="5" t="s">
        <v>88</v>
      </c>
      <c r="P52" s="6">
        <v>43964</v>
      </c>
      <c r="Q52" s="5" t="s">
        <v>31</v>
      </c>
      <c r="R52" s="5" t="s">
        <v>39</v>
      </c>
      <c r="S52" s="5" t="s">
        <v>33</v>
      </c>
      <c r="T52" s="5"/>
      <c r="U52" s="7">
        <v>2452.71</v>
      </c>
      <c r="V52" s="7">
        <v>1057.6099999999999</v>
      </c>
      <c r="W52" s="5">
        <v>976.67</v>
      </c>
      <c r="X52" s="5">
        <v>0</v>
      </c>
      <c r="Y52" s="5">
        <v>418.43</v>
      </c>
    </row>
    <row r="53" spans="1:25" ht="24.75" x14ac:dyDescent="0.25">
      <c r="A53" s="5" t="s">
        <v>26</v>
      </c>
      <c r="B53" s="5" t="s">
        <v>37</v>
      </c>
      <c r="C53" s="5" t="s">
        <v>46</v>
      </c>
      <c r="D53" s="5" t="s">
        <v>51</v>
      </c>
      <c r="E53" s="5" t="s">
        <v>43</v>
      </c>
      <c r="F53" s="5" t="s">
        <v>107</v>
      </c>
      <c r="G53" s="5">
        <v>2019</v>
      </c>
      <c r="H53" s="5" t="str">
        <f>CONCATENATE("94240125867")</f>
        <v>94240125867</v>
      </c>
      <c r="I53" s="5" t="s">
        <v>35</v>
      </c>
      <c r="J53" s="5" t="s">
        <v>30</v>
      </c>
      <c r="K53" s="5" t="str">
        <f>CONCATENATE("")</f>
        <v/>
      </c>
      <c r="L53" s="5" t="str">
        <f>CONCATENATE("14 14.1 3a")</f>
        <v>14 14.1 3a</v>
      </c>
      <c r="M53" s="5" t="str">
        <f>CONCATENATE("02598840417")</f>
        <v>02598840417</v>
      </c>
      <c r="N53" s="5" t="s">
        <v>135</v>
      </c>
      <c r="O53" s="5" t="s">
        <v>88</v>
      </c>
      <c r="P53" s="6">
        <v>43964</v>
      </c>
      <c r="Q53" s="5" t="s">
        <v>31</v>
      </c>
      <c r="R53" s="5" t="s">
        <v>39</v>
      </c>
      <c r="S53" s="5" t="s">
        <v>33</v>
      </c>
      <c r="T53" s="5"/>
      <c r="U53" s="7">
        <v>1622.74</v>
      </c>
      <c r="V53" s="5">
        <v>699.73</v>
      </c>
      <c r="W53" s="5">
        <v>646.17999999999995</v>
      </c>
      <c r="X53" s="5">
        <v>0</v>
      </c>
      <c r="Y53" s="5">
        <v>276.83</v>
      </c>
    </row>
    <row r="54" spans="1:25" ht="24.75" x14ac:dyDescent="0.25">
      <c r="A54" s="5" t="s">
        <v>26</v>
      </c>
      <c r="B54" s="5" t="s">
        <v>37</v>
      </c>
      <c r="C54" s="5" t="s">
        <v>46</v>
      </c>
      <c r="D54" s="5" t="s">
        <v>51</v>
      </c>
      <c r="E54" s="5" t="s">
        <v>43</v>
      </c>
      <c r="F54" s="5" t="s">
        <v>136</v>
      </c>
      <c r="G54" s="5">
        <v>2019</v>
      </c>
      <c r="H54" s="5" t="str">
        <f>CONCATENATE("94240858947")</f>
        <v>94240858947</v>
      </c>
      <c r="I54" s="5" t="s">
        <v>35</v>
      </c>
      <c r="J54" s="5" t="s">
        <v>30</v>
      </c>
      <c r="K54" s="5" t="str">
        <f>CONCATENATE("")</f>
        <v/>
      </c>
      <c r="L54" s="5" t="str">
        <f>CONCATENATE("14 14.1 3a")</f>
        <v>14 14.1 3a</v>
      </c>
      <c r="M54" s="5" t="str">
        <f>CONCATENATE("02470020419")</f>
        <v>02470020419</v>
      </c>
      <c r="N54" s="5" t="s">
        <v>137</v>
      </c>
      <c r="O54" s="5" t="s">
        <v>88</v>
      </c>
      <c r="P54" s="6">
        <v>43964</v>
      </c>
      <c r="Q54" s="5" t="s">
        <v>31</v>
      </c>
      <c r="R54" s="5" t="s">
        <v>39</v>
      </c>
      <c r="S54" s="5" t="s">
        <v>33</v>
      </c>
      <c r="T54" s="5"/>
      <c r="U54" s="7">
        <v>22900</v>
      </c>
      <c r="V54" s="7">
        <v>9874.48</v>
      </c>
      <c r="W54" s="7">
        <v>9118.7800000000007</v>
      </c>
      <c r="X54" s="5">
        <v>0</v>
      </c>
      <c r="Y54" s="7">
        <v>3906.74</v>
      </c>
    </row>
    <row r="55" spans="1:25" ht="24.75" x14ac:dyDescent="0.25">
      <c r="A55" s="5" t="s">
        <v>26</v>
      </c>
      <c r="B55" s="5" t="s">
        <v>37</v>
      </c>
      <c r="C55" s="5" t="s">
        <v>46</v>
      </c>
      <c r="D55" s="5" t="s">
        <v>51</v>
      </c>
      <c r="E55" s="5" t="s">
        <v>40</v>
      </c>
      <c r="F55" s="5" t="s">
        <v>89</v>
      </c>
      <c r="G55" s="5">
        <v>2019</v>
      </c>
      <c r="H55" s="5" t="str">
        <f>CONCATENATE("94240377740")</f>
        <v>94240377740</v>
      </c>
      <c r="I55" s="5" t="s">
        <v>35</v>
      </c>
      <c r="J55" s="5" t="s">
        <v>30</v>
      </c>
      <c r="K55" s="5" t="str">
        <f>CONCATENATE("")</f>
        <v/>
      </c>
      <c r="L55" s="5" t="str">
        <f>CONCATENATE("14 14.1 3a")</f>
        <v>14 14.1 3a</v>
      </c>
      <c r="M55" s="5" t="str">
        <f>CONCATENATE("BRRFRZ64E10E785F")</f>
        <v>BRRFRZ64E10E785F</v>
      </c>
      <c r="N55" s="5" t="s">
        <v>138</v>
      </c>
      <c r="O55" s="5" t="s">
        <v>88</v>
      </c>
      <c r="P55" s="6">
        <v>43964</v>
      </c>
      <c r="Q55" s="5" t="s">
        <v>31</v>
      </c>
      <c r="R55" s="5" t="s">
        <v>39</v>
      </c>
      <c r="S55" s="5" t="s">
        <v>33</v>
      </c>
      <c r="T55" s="5"/>
      <c r="U55" s="7">
        <v>1042.6500000000001</v>
      </c>
      <c r="V55" s="5">
        <v>449.59</v>
      </c>
      <c r="W55" s="5">
        <v>415.18</v>
      </c>
      <c r="X55" s="5">
        <v>0</v>
      </c>
      <c r="Y55" s="5">
        <v>177.88</v>
      </c>
    </row>
    <row r="56" spans="1:25" x14ac:dyDescent="0.25">
      <c r="A56" s="5" t="s">
        <v>26</v>
      </c>
      <c r="B56" s="5" t="s">
        <v>37</v>
      </c>
      <c r="C56" s="5" t="s">
        <v>46</v>
      </c>
      <c r="D56" s="5" t="s">
        <v>68</v>
      </c>
      <c r="E56" s="5" t="s">
        <v>40</v>
      </c>
      <c r="F56" s="5" t="s">
        <v>139</v>
      </c>
      <c r="G56" s="5">
        <v>2019</v>
      </c>
      <c r="H56" s="5" t="str">
        <f>CONCATENATE("94241157588")</f>
        <v>94241157588</v>
      </c>
      <c r="I56" s="5" t="s">
        <v>35</v>
      </c>
      <c r="J56" s="5" t="s">
        <v>30</v>
      </c>
      <c r="K56" s="5" t="str">
        <f>CONCATENATE("")</f>
        <v/>
      </c>
      <c r="L56" s="5" t="str">
        <f>CONCATENATE("14 14.1 3a")</f>
        <v>14 14.1 3a</v>
      </c>
      <c r="M56" s="5" t="str">
        <f>CONCATENATE("MSCMRA50D28B474Y")</f>
        <v>MSCMRA50D28B474Y</v>
      </c>
      <c r="N56" s="5" t="s">
        <v>140</v>
      </c>
      <c r="O56" s="5" t="s">
        <v>88</v>
      </c>
      <c r="P56" s="6">
        <v>43964</v>
      </c>
      <c r="Q56" s="5" t="s">
        <v>31</v>
      </c>
      <c r="R56" s="5" t="s">
        <v>39</v>
      </c>
      <c r="S56" s="5" t="s">
        <v>33</v>
      </c>
      <c r="T56" s="5"/>
      <c r="U56" s="7">
        <v>1247.6199999999999</v>
      </c>
      <c r="V56" s="5">
        <v>537.97</v>
      </c>
      <c r="W56" s="5">
        <v>496.8</v>
      </c>
      <c r="X56" s="5">
        <v>0</v>
      </c>
      <c r="Y56" s="5">
        <v>212.85</v>
      </c>
    </row>
    <row r="57" spans="1:25" ht="24.75" x14ac:dyDescent="0.25">
      <c r="A57" s="5" t="s">
        <v>26</v>
      </c>
      <c r="B57" s="5" t="s">
        <v>37</v>
      </c>
      <c r="C57" s="5" t="s">
        <v>46</v>
      </c>
      <c r="D57" s="5" t="s">
        <v>47</v>
      </c>
      <c r="E57" s="5" t="s">
        <v>41</v>
      </c>
      <c r="F57" s="5" t="s">
        <v>123</v>
      </c>
      <c r="G57" s="5">
        <v>2019</v>
      </c>
      <c r="H57" s="5" t="str">
        <f>CONCATENATE("94240688369")</f>
        <v>94240688369</v>
      </c>
      <c r="I57" s="5" t="s">
        <v>35</v>
      </c>
      <c r="J57" s="5" t="s">
        <v>30</v>
      </c>
      <c r="K57" s="5" t="str">
        <f>CONCATENATE("")</f>
        <v/>
      </c>
      <c r="L57" s="5" t="str">
        <f>CONCATENATE("14 14.1 3a")</f>
        <v>14 14.1 3a</v>
      </c>
      <c r="M57" s="5" t="str">
        <f>CONCATENATE("MRNPLA75P30H211M")</f>
        <v>MRNPLA75P30H211M</v>
      </c>
      <c r="N57" s="5" t="s">
        <v>141</v>
      </c>
      <c r="O57" s="5" t="s">
        <v>88</v>
      </c>
      <c r="P57" s="6">
        <v>43964</v>
      </c>
      <c r="Q57" s="5" t="s">
        <v>31</v>
      </c>
      <c r="R57" s="5" t="s">
        <v>39</v>
      </c>
      <c r="S57" s="5" t="s">
        <v>33</v>
      </c>
      <c r="T57" s="5"/>
      <c r="U57" s="5">
        <v>934.8</v>
      </c>
      <c r="V57" s="5">
        <v>403.09</v>
      </c>
      <c r="W57" s="5">
        <v>372.24</v>
      </c>
      <c r="X57" s="5">
        <v>0</v>
      </c>
      <c r="Y57" s="5">
        <v>159.47</v>
      </c>
    </row>
    <row r="58" spans="1:25" ht="24.75" x14ac:dyDescent="0.25">
      <c r="A58" s="5" t="s">
        <v>26</v>
      </c>
      <c r="B58" s="5" t="s">
        <v>37</v>
      </c>
      <c r="C58" s="5" t="s">
        <v>46</v>
      </c>
      <c r="D58" s="5" t="s">
        <v>51</v>
      </c>
      <c r="E58" s="5" t="s">
        <v>40</v>
      </c>
      <c r="F58" s="5" t="s">
        <v>89</v>
      </c>
      <c r="G58" s="5">
        <v>2019</v>
      </c>
      <c r="H58" s="5" t="str">
        <f>CONCATENATE("94240851132")</f>
        <v>94240851132</v>
      </c>
      <c r="I58" s="5" t="s">
        <v>35</v>
      </c>
      <c r="J58" s="5" t="s">
        <v>30</v>
      </c>
      <c r="K58" s="5" t="str">
        <f>CONCATENATE("")</f>
        <v/>
      </c>
      <c r="L58" s="5" t="str">
        <f>CONCATENATE("14 14.1 3a")</f>
        <v>14 14.1 3a</v>
      </c>
      <c r="M58" s="5" t="str">
        <f>CONCATENATE("02621430418")</f>
        <v>02621430418</v>
      </c>
      <c r="N58" s="5" t="s">
        <v>142</v>
      </c>
      <c r="O58" s="5" t="s">
        <v>88</v>
      </c>
      <c r="P58" s="6">
        <v>43964</v>
      </c>
      <c r="Q58" s="5" t="s">
        <v>31</v>
      </c>
      <c r="R58" s="5" t="s">
        <v>39</v>
      </c>
      <c r="S58" s="5" t="s">
        <v>33</v>
      </c>
      <c r="T58" s="5"/>
      <c r="U58" s="7">
        <v>1052.58</v>
      </c>
      <c r="V58" s="5">
        <v>453.87</v>
      </c>
      <c r="W58" s="5">
        <v>419.14</v>
      </c>
      <c r="X58" s="5">
        <v>0</v>
      </c>
      <c r="Y58" s="5">
        <v>179.57</v>
      </c>
    </row>
    <row r="59" spans="1:25" x14ac:dyDescent="0.25">
      <c r="A59" s="5" t="s">
        <v>26</v>
      </c>
      <c r="B59" s="5" t="s">
        <v>37</v>
      </c>
      <c r="C59" s="5" t="s">
        <v>46</v>
      </c>
      <c r="D59" s="5" t="s">
        <v>68</v>
      </c>
      <c r="E59" s="5" t="s">
        <v>41</v>
      </c>
      <c r="F59" s="5" t="s">
        <v>111</v>
      </c>
      <c r="G59" s="5">
        <v>2019</v>
      </c>
      <c r="H59" s="5" t="str">
        <f>CONCATENATE("94240788474")</f>
        <v>94240788474</v>
      </c>
      <c r="I59" s="5" t="s">
        <v>35</v>
      </c>
      <c r="J59" s="5" t="s">
        <v>30</v>
      </c>
      <c r="K59" s="5" t="str">
        <f>CONCATENATE("")</f>
        <v/>
      </c>
      <c r="L59" s="5" t="str">
        <f>CONCATENATE("14 14.1 3a")</f>
        <v>14 14.1 3a</v>
      </c>
      <c r="M59" s="5" t="str">
        <f>CONCATENATE("DLTGLC71B15G436F")</f>
        <v>DLTGLC71B15G436F</v>
      </c>
      <c r="N59" s="5" t="s">
        <v>143</v>
      </c>
      <c r="O59" s="5" t="s">
        <v>88</v>
      </c>
      <c r="P59" s="6">
        <v>43964</v>
      </c>
      <c r="Q59" s="5" t="s">
        <v>31</v>
      </c>
      <c r="R59" s="5" t="s">
        <v>39</v>
      </c>
      <c r="S59" s="5" t="s">
        <v>33</v>
      </c>
      <c r="T59" s="5"/>
      <c r="U59" s="5">
        <v>528</v>
      </c>
      <c r="V59" s="5">
        <v>227.67</v>
      </c>
      <c r="W59" s="5">
        <v>210.25</v>
      </c>
      <c r="X59" s="5">
        <v>0</v>
      </c>
      <c r="Y59" s="5">
        <v>90.08</v>
      </c>
    </row>
    <row r="60" spans="1:25" ht="24.75" x14ac:dyDescent="0.25">
      <c r="A60" s="5" t="s">
        <v>26</v>
      </c>
      <c r="B60" s="5" t="s">
        <v>37</v>
      </c>
      <c r="C60" s="5" t="s">
        <v>46</v>
      </c>
      <c r="D60" s="5" t="s">
        <v>68</v>
      </c>
      <c r="E60" s="5" t="s">
        <v>43</v>
      </c>
      <c r="F60" s="5" t="s">
        <v>82</v>
      </c>
      <c r="G60" s="5">
        <v>2019</v>
      </c>
      <c r="H60" s="5" t="str">
        <f>CONCATENATE("94240784432")</f>
        <v>94240784432</v>
      </c>
      <c r="I60" s="5" t="s">
        <v>35</v>
      </c>
      <c r="J60" s="5" t="s">
        <v>30</v>
      </c>
      <c r="K60" s="5" t="str">
        <f>CONCATENATE("")</f>
        <v/>
      </c>
      <c r="L60" s="5" t="str">
        <f>CONCATENATE("14 14.1 3a")</f>
        <v>14 14.1 3a</v>
      </c>
      <c r="M60" s="5" t="str">
        <f>CONCATENATE("01836370435")</f>
        <v>01836370435</v>
      </c>
      <c r="N60" s="5" t="s">
        <v>144</v>
      </c>
      <c r="O60" s="5" t="s">
        <v>88</v>
      </c>
      <c r="P60" s="6">
        <v>43964</v>
      </c>
      <c r="Q60" s="5" t="s">
        <v>31</v>
      </c>
      <c r="R60" s="5" t="s">
        <v>39</v>
      </c>
      <c r="S60" s="5" t="s">
        <v>33</v>
      </c>
      <c r="T60" s="5"/>
      <c r="U60" s="7">
        <v>4844.1000000000004</v>
      </c>
      <c r="V60" s="7">
        <v>2088.7800000000002</v>
      </c>
      <c r="W60" s="7">
        <v>1928.92</v>
      </c>
      <c r="X60" s="5">
        <v>0</v>
      </c>
      <c r="Y60" s="5">
        <v>826.4</v>
      </c>
    </row>
    <row r="61" spans="1:25" x14ac:dyDescent="0.25">
      <c r="A61" s="5" t="s">
        <v>26</v>
      </c>
      <c r="B61" s="5" t="s">
        <v>37</v>
      </c>
      <c r="C61" s="5" t="s">
        <v>46</v>
      </c>
      <c r="D61" s="5" t="s">
        <v>68</v>
      </c>
      <c r="E61" s="5" t="s">
        <v>43</v>
      </c>
      <c r="F61" s="5" t="s">
        <v>82</v>
      </c>
      <c r="G61" s="5">
        <v>2019</v>
      </c>
      <c r="H61" s="5" t="str">
        <f>CONCATENATE("94241693350")</f>
        <v>94241693350</v>
      </c>
      <c r="I61" s="5" t="s">
        <v>35</v>
      </c>
      <c r="J61" s="5" t="s">
        <v>30</v>
      </c>
      <c r="K61" s="5" t="str">
        <f>CONCATENATE("")</f>
        <v/>
      </c>
      <c r="L61" s="5" t="str">
        <f>CONCATENATE("14 14.1 3a")</f>
        <v>14 14.1 3a</v>
      </c>
      <c r="M61" s="5" t="str">
        <f>CONCATENATE("MRCMRN59L16A952Q")</f>
        <v>MRCMRN59L16A952Q</v>
      </c>
      <c r="N61" s="5" t="s">
        <v>145</v>
      </c>
      <c r="O61" s="5" t="s">
        <v>88</v>
      </c>
      <c r="P61" s="6">
        <v>43964</v>
      </c>
      <c r="Q61" s="5" t="s">
        <v>31</v>
      </c>
      <c r="R61" s="5" t="s">
        <v>39</v>
      </c>
      <c r="S61" s="5" t="s">
        <v>33</v>
      </c>
      <c r="T61" s="5"/>
      <c r="U61" s="7">
        <v>8577.36</v>
      </c>
      <c r="V61" s="7">
        <v>3698.56</v>
      </c>
      <c r="W61" s="7">
        <v>3415.5</v>
      </c>
      <c r="X61" s="5">
        <v>0</v>
      </c>
      <c r="Y61" s="7">
        <v>1463.3</v>
      </c>
    </row>
    <row r="62" spans="1:25" ht="24.75" x14ac:dyDescent="0.25">
      <c r="A62" s="5" t="s">
        <v>26</v>
      </c>
      <c r="B62" s="5" t="s">
        <v>37</v>
      </c>
      <c r="C62" s="5" t="s">
        <v>46</v>
      </c>
      <c r="D62" s="5" t="s">
        <v>51</v>
      </c>
      <c r="E62" s="5" t="s">
        <v>41</v>
      </c>
      <c r="F62" s="5" t="s">
        <v>55</v>
      </c>
      <c r="G62" s="5">
        <v>2019</v>
      </c>
      <c r="H62" s="5" t="str">
        <f>CONCATENATE("94240587645")</f>
        <v>94240587645</v>
      </c>
      <c r="I62" s="5" t="s">
        <v>35</v>
      </c>
      <c r="J62" s="5" t="s">
        <v>30</v>
      </c>
      <c r="K62" s="5" t="str">
        <f>CONCATENATE("")</f>
        <v/>
      </c>
      <c r="L62" s="5" t="str">
        <f>CONCATENATE("14 14.1 3a")</f>
        <v>14 14.1 3a</v>
      </c>
      <c r="M62" s="5" t="str">
        <f>CONCATENATE("GRSMNL61D65F205W")</f>
        <v>GRSMNL61D65F205W</v>
      </c>
      <c r="N62" s="5" t="s">
        <v>146</v>
      </c>
      <c r="O62" s="5" t="s">
        <v>88</v>
      </c>
      <c r="P62" s="6">
        <v>43964</v>
      </c>
      <c r="Q62" s="5" t="s">
        <v>31</v>
      </c>
      <c r="R62" s="5" t="s">
        <v>39</v>
      </c>
      <c r="S62" s="5" t="s">
        <v>33</v>
      </c>
      <c r="T62" s="5"/>
      <c r="U62" s="7">
        <v>1511.25</v>
      </c>
      <c r="V62" s="5">
        <v>651.65</v>
      </c>
      <c r="W62" s="5">
        <v>601.78</v>
      </c>
      <c r="X62" s="5">
        <v>0</v>
      </c>
      <c r="Y62" s="5">
        <v>257.82</v>
      </c>
    </row>
    <row r="63" spans="1:25" ht="24.75" x14ac:dyDescent="0.25">
      <c r="A63" s="5" t="s">
        <v>26</v>
      </c>
      <c r="B63" s="5" t="s">
        <v>37</v>
      </c>
      <c r="C63" s="5" t="s">
        <v>46</v>
      </c>
      <c r="D63" s="5" t="s">
        <v>47</v>
      </c>
      <c r="E63" s="5" t="s">
        <v>40</v>
      </c>
      <c r="F63" s="5" t="s">
        <v>80</v>
      </c>
      <c r="G63" s="5">
        <v>2019</v>
      </c>
      <c r="H63" s="5" t="str">
        <f>CONCATENATE("94780018944")</f>
        <v>94780018944</v>
      </c>
      <c r="I63" s="5" t="s">
        <v>35</v>
      </c>
      <c r="J63" s="5" t="s">
        <v>38</v>
      </c>
      <c r="K63" s="5" t="str">
        <f>CONCATENATE("221")</f>
        <v>221</v>
      </c>
      <c r="L63" s="5" t="str">
        <f>CONCATENATE("8 8.1 5e")</f>
        <v>8 8.1 5e</v>
      </c>
      <c r="M63" s="5" t="str">
        <f>CONCATENATE("CSTGLN45T17F589X")</f>
        <v>CSTGLN45T17F589X</v>
      </c>
      <c r="N63" s="5" t="s">
        <v>147</v>
      </c>
      <c r="O63" s="5" t="s">
        <v>73</v>
      </c>
      <c r="P63" s="6">
        <v>43965</v>
      </c>
      <c r="Q63" s="5" t="s">
        <v>31</v>
      </c>
      <c r="R63" s="5" t="s">
        <v>39</v>
      </c>
      <c r="S63" s="5" t="s">
        <v>33</v>
      </c>
      <c r="T63" s="5"/>
      <c r="U63" s="5">
        <v>106.5</v>
      </c>
      <c r="V63" s="5">
        <v>45.92</v>
      </c>
      <c r="W63" s="5">
        <v>42.41</v>
      </c>
      <c r="X63" s="5">
        <v>0</v>
      </c>
      <c r="Y63" s="5">
        <v>18.170000000000002</v>
      </c>
    </row>
    <row r="64" spans="1:25" ht="24.75" x14ac:dyDescent="0.25">
      <c r="A64" s="5" t="s">
        <v>26</v>
      </c>
      <c r="B64" s="5" t="s">
        <v>37</v>
      </c>
      <c r="C64" s="5" t="s">
        <v>46</v>
      </c>
      <c r="D64" s="5" t="s">
        <v>47</v>
      </c>
      <c r="E64" s="5" t="s">
        <v>41</v>
      </c>
      <c r="F64" s="5" t="s">
        <v>148</v>
      </c>
      <c r="G64" s="5">
        <v>2019</v>
      </c>
      <c r="H64" s="5" t="str">
        <f>CONCATENATE("94780036219")</f>
        <v>94780036219</v>
      </c>
      <c r="I64" s="5" t="s">
        <v>35</v>
      </c>
      <c r="J64" s="5" t="s">
        <v>38</v>
      </c>
      <c r="K64" s="5" t="str">
        <f>CONCATENATE("221")</f>
        <v>221</v>
      </c>
      <c r="L64" s="5" t="str">
        <f>CONCATENATE("8 8.1 5e")</f>
        <v>8 8.1 5e</v>
      </c>
      <c r="M64" s="5" t="str">
        <f>CONCATENATE("MGGFRZ72H26I461X")</f>
        <v>MGGFRZ72H26I461X</v>
      </c>
      <c r="N64" s="5" t="s">
        <v>149</v>
      </c>
      <c r="O64" s="5" t="s">
        <v>73</v>
      </c>
      <c r="P64" s="6">
        <v>43965</v>
      </c>
      <c r="Q64" s="5" t="s">
        <v>31</v>
      </c>
      <c r="R64" s="5" t="s">
        <v>39</v>
      </c>
      <c r="S64" s="5" t="s">
        <v>33</v>
      </c>
      <c r="T64" s="5"/>
      <c r="U64" s="5">
        <v>90</v>
      </c>
      <c r="V64" s="5">
        <v>38.81</v>
      </c>
      <c r="W64" s="5">
        <v>35.840000000000003</v>
      </c>
      <c r="X64" s="5">
        <v>0</v>
      </c>
      <c r="Y64" s="5">
        <v>15.35</v>
      </c>
    </row>
    <row r="65" spans="1:25" x14ac:dyDescent="0.25">
      <c r="A65" s="5" t="s">
        <v>26</v>
      </c>
      <c r="B65" s="5" t="s">
        <v>37</v>
      </c>
      <c r="C65" s="5" t="s">
        <v>46</v>
      </c>
      <c r="D65" s="5" t="s">
        <v>68</v>
      </c>
      <c r="E65" s="5" t="s">
        <v>41</v>
      </c>
      <c r="F65" s="5" t="s">
        <v>150</v>
      </c>
      <c r="G65" s="5">
        <v>2019</v>
      </c>
      <c r="H65" s="5" t="str">
        <f>CONCATENATE("94240186141")</f>
        <v>94240186141</v>
      </c>
      <c r="I65" s="5" t="s">
        <v>35</v>
      </c>
      <c r="J65" s="5" t="s">
        <v>30</v>
      </c>
      <c r="K65" s="5" t="str">
        <f>CONCATENATE("")</f>
        <v/>
      </c>
      <c r="L65" s="5" t="str">
        <f>CONCATENATE("14 14.1 3a")</f>
        <v>14 14.1 3a</v>
      </c>
      <c r="M65" s="5" t="str">
        <f>CONCATENATE("SPEFTN65D21M078G")</f>
        <v>SPEFTN65D21M078G</v>
      </c>
      <c r="N65" s="5" t="s">
        <v>151</v>
      </c>
      <c r="O65" s="5" t="s">
        <v>88</v>
      </c>
      <c r="P65" s="6">
        <v>43964</v>
      </c>
      <c r="Q65" s="5" t="s">
        <v>31</v>
      </c>
      <c r="R65" s="5" t="s">
        <v>39</v>
      </c>
      <c r="S65" s="5" t="s">
        <v>33</v>
      </c>
      <c r="T65" s="5"/>
      <c r="U65" s="7">
        <v>3448</v>
      </c>
      <c r="V65" s="7">
        <v>1486.78</v>
      </c>
      <c r="W65" s="7">
        <v>1372.99</v>
      </c>
      <c r="X65" s="5">
        <v>0</v>
      </c>
      <c r="Y65" s="5">
        <v>588.23</v>
      </c>
    </row>
    <row r="66" spans="1:25" ht="24.75" x14ac:dyDescent="0.25">
      <c r="A66" s="5" t="s">
        <v>26</v>
      </c>
      <c r="B66" s="5" t="s">
        <v>37</v>
      </c>
      <c r="C66" s="5" t="s">
        <v>46</v>
      </c>
      <c r="D66" s="5" t="s">
        <v>68</v>
      </c>
      <c r="E66" s="5" t="s">
        <v>41</v>
      </c>
      <c r="F66" s="5" t="s">
        <v>150</v>
      </c>
      <c r="G66" s="5">
        <v>2019</v>
      </c>
      <c r="H66" s="5" t="str">
        <f>CONCATENATE("94240921166")</f>
        <v>94240921166</v>
      </c>
      <c r="I66" s="5" t="s">
        <v>35</v>
      </c>
      <c r="J66" s="5" t="s">
        <v>30</v>
      </c>
      <c r="K66" s="5" t="str">
        <f>CONCATENATE("")</f>
        <v/>
      </c>
      <c r="L66" s="5" t="str">
        <f>CONCATENATE("14 14.1 3a")</f>
        <v>14 14.1 3a</v>
      </c>
      <c r="M66" s="5" t="str">
        <f>CONCATENATE("01990730432")</f>
        <v>01990730432</v>
      </c>
      <c r="N66" s="5" t="s">
        <v>152</v>
      </c>
      <c r="O66" s="5" t="s">
        <v>88</v>
      </c>
      <c r="P66" s="6">
        <v>43964</v>
      </c>
      <c r="Q66" s="5" t="s">
        <v>31</v>
      </c>
      <c r="R66" s="5" t="s">
        <v>39</v>
      </c>
      <c r="S66" s="5" t="s">
        <v>33</v>
      </c>
      <c r="T66" s="5"/>
      <c r="U66" s="7">
        <v>5229.8</v>
      </c>
      <c r="V66" s="7">
        <v>2255.09</v>
      </c>
      <c r="W66" s="7">
        <v>2082.5100000000002</v>
      </c>
      <c r="X66" s="5">
        <v>0</v>
      </c>
      <c r="Y66" s="5">
        <v>892.2</v>
      </c>
    </row>
    <row r="67" spans="1:25" ht="24.75" x14ac:dyDescent="0.25">
      <c r="A67" s="5" t="s">
        <v>26</v>
      </c>
      <c r="B67" s="5" t="s">
        <v>37</v>
      </c>
      <c r="C67" s="5" t="s">
        <v>46</v>
      </c>
      <c r="D67" s="5" t="s">
        <v>51</v>
      </c>
      <c r="E67" s="5" t="s">
        <v>40</v>
      </c>
      <c r="F67" s="5" t="s">
        <v>130</v>
      </c>
      <c r="G67" s="5">
        <v>2019</v>
      </c>
      <c r="H67" s="5" t="str">
        <f>CONCATENATE("94240319858")</f>
        <v>94240319858</v>
      </c>
      <c r="I67" s="5" t="s">
        <v>35</v>
      </c>
      <c r="J67" s="5" t="s">
        <v>30</v>
      </c>
      <c r="K67" s="5" t="str">
        <f>CONCATENATE("")</f>
        <v/>
      </c>
      <c r="L67" s="5" t="str">
        <f>CONCATENATE("14 14.1 3a")</f>
        <v>14 14.1 3a</v>
      </c>
      <c r="M67" s="5" t="str">
        <f>CONCATENATE("RCNGLI56C09B636X")</f>
        <v>RCNGLI56C09B636X</v>
      </c>
      <c r="N67" s="5" t="s">
        <v>153</v>
      </c>
      <c r="O67" s="5" t="s">
        <v>88</v>
      </c>
      <c r="P67" s="6">
        <v>43964</v>
      </c>
      <c r="Q67" s="5" t="s">
        <v>31</v>
      </c>
      <c r="R67" s="5" t="s">
        <v>39</v>
      </c>
      <c r="S67" s="5" t="s">
        <v>33</v>
      </c>
      <c r="T67" s="5"/>
      <c r="U67" s="7">
        <v>1737.75</v>
      </c>
      <c r="V67" s="5">
        <v>749.32</v>
      </c>
      <c r="W67" s="5">
        <v>691.97</v>
      </c>
      <c r="X67" s="5">
        <v>0</v>
      </c>
      <c r="Y67" s="5">
        <v>296.45999999999998</v>
      </c>
    </row>
    <row r="68" spans="1:25" ht="24.75" x14ac:dyDescent="0.25">
      <c r="A68" s="5" t="s">
        <v>26</v>
      </c>
      <c r="B68" s="5" t="s">
        <v>37</v>
      </c>
      <c r="C68" s="5" t="s">
        <v>46</v>
      </c>
      <c r="D68" s="5" t="s">
        <v>51</v>
      </c>
      <c r="E68" s="5" t="s">
        <v>41</v>
      </c>
      <c r="F68" s="5" t="s">
        <v>154</v>
      </c>
      <c r="G68" s="5">
        <v>2019</v>
      </c>
      <c r="H68" s="5" t="str">
        <f>CONCATENATE("94240787161")</f>
        <v>94240787161</v>
      </c>
      <c r="I68" s="5" t="s">
        <v>35</v>
      </c>
      <c r="J68" s="5" t="s">
        <v>30</v>
      </c>
      <c r="K68" s="5" t="str">
        <f>CONCATENATE("")</f>
        <v/>
      </c>
      <c r="L68" s="5" t="str">
        <f>CONCATENATE("14 14.1 3a")</f>
        <v>14 14.1 3a</v>
      </c>
      <c r="M68" s="5" t="str">
        <f>CONCATENATE("BNDCLD68E05I287I")</f>
        <v>BNDCLD68E05I287I</v>
      </c>
      <c r="N68" s="5" t="s">
        <v>155</v>
      </c>
      <c r="O68" s="5" t="s">
        <v>88</v>
      </c>
      <c r="P68" s="6">
        <v>43964</v>
      </c>
      <c r="Q68" s="5" t="s">
        <v>31</v>
      </c>
      <c r="R68" s="5" t="s">
        <v>39</v>
      </c>
      <c r="S68" s="5" t="s">
        <v>33</v>
      </c>
      <c r="T68" s="5"/>
      <c r="U68" s="7">
        <v>2125.02</v>
      </c>
      <c r="V68" s="5">
        <v>916.31</v>
      </c>
      <c r="W68" s="5">
        <v>846.18</v>
      </c>
      <c r="X68" s="5">
        <v>0</v>
      </c>
      <c r="Y68" s="5">
        <v>362.53</v>
      </c>
    </row>
    <row r="69" spans="1:25" x14ac:dyDescent="0.25">
      <c r="A69" s="5" t="s">
        <v>26</v>
      </c>
      <c r="B69" s="5" t="s">
        <v>37</v>
      </c>
      <c r="C69" s="5" t="s">
        <v>46</v>
      </c>
      <c r="D69" s="5" t="s">
        <v>68</v>
      </c>
      <c r="E69" s="5" t="s">
        <v>41</v>
      </c>
      <c r="F69" s="5" t="s">
        <v>111</v>
      </c>
      <c r="G69" s="5">
        <v>2019</v>
      </c>
      <c r="H69" s="5" t="str">
        <f>CONCATENATE("94241051062")</f>
        <v>94241051062</v>
      </c>
      <c r="I69" s="5" t="s">
        <v>35</v>
      </c>
      <c r="J69" s="5" t="s">
        <v>30</v>
      </c>
      <c r="K69" s="5" t="str">
        <f>CONCATENATE("")</f>
        <v/>
      </c>
      <c r="L69" s="5" t="str">
        <f>CONCATENATE("14 14.1 3a")</f>
        <v>14 14.1 3a</v>
      </c>
      <c r="M69" s="5" t="str">
        <f>CONCATENATE("CNCFNC82E01B474C")</f>
        <v>CNCFNC82E01B474C</v>
      </c>
      <c r="N69" s="5" t="s">
        <v>156</v>
      </c>
      <c r="O69" s="5" t="s">
        <v>88</v>
      </c>
      <c r="P69" s="6">
        <v>43964</v>
      </c>
      <c r="Q69" s="5" t="s">
        <v>31</v>
      </c>
      <c r="R69" s="5" t="s">
        <v>39</v>
      </c>
      <c r="S69" s="5" t="s">
        <v>33</v>
      </c>
      <c r="T69" s="5"/>
      <c r="U69" s="5">
        <v>684</v>
      </c>
      <c r="V69" s="5">
        <v>294.94</v>
      </c>
      <c r="W69" s="5">
        <v>272.37</v>
      </c>
      <c r="X69" s="5">
        <v>0</v>
      </c>
      <c r="Y69" s="5">
        <v>116.69</v>
      </c>
    </row>
    <row r="70" spans="1:25" ht="24.75" x14ac:dyDescent="0.25">
      <c r="A70" s="5" t="s">
        <v>26</v>
      </c>
      <c r="B70" s="5" t="s">
        <v>37</v>
      </c>
      <c r="C70" s="5" t="s">
        <v>46</v>
      </c>
      <c r="D70" s="5" t="s">
        <v>51</v>
      </c>
      <c r="E70" s="5" t="s">
        <v>41</v>
      </c>
      <c r="F70" s="5" t="s">
        <v>154</v>
      </c>
      <c r="G70" s="5">
        <v>2019</v>
      </c>
      <c r="H70" s="5" t="str">
        <f>CONCATENATE("94240797004")</f>
        <v>94240797004</v>
      </c>
      <c r="I70" s="5" t="s">
        <v>35</v>
      </c>
      <c r="J70" s="5" t="s">
        <v>30</v>
      </c>
      <c r="K70" s="5" t="str">
        <f>CONCATENATE("")</f>
        <v/>
      </c>
      <c r="L70" s="5" t="str">
        <f>CONCATENATE("14 14.1 3a")</f>
        <v>14 14.1 3a</v>
      </c>
      <c r="M70" s="5" t="str">
        <f>CONCATENATE("01358310413")</f>
        <v>01358310413</v>
      </c>
      <c r="N70" s="5" t="s">
        <v>157</v>
      </c>
      <c r="O70" s="5" t="s">
        <v>88</v>
      </c>
      <c r="P70" s="6">
        <v>43964</v>
      </c>
      <c r="Q70" s="5" t="s">
        <v>31</v>
      </c>
      <c r="R70" s="5" t="s">
        <v>39</v>
      </c>
      <c r="S70" s="5" t="s">
        <v>33</v>
      </c>
      <c r="T70" s="5"/>
      <c r="U70" s="7">
        <v>1515.98</v>
      </c>
      <c r="V70" s="5">
        <v>653.69000000000005</v>
      </c>
      <c r="W70" s="5">
        <v>603.66</v>
      </c>
      <c r="X70" s="5">
        <v>0</v>
      </c>
      <c r="Y70" s="5">
        <v>258.63</v>
      </c>
    </row>
    <row r="71" spans="1:25" ht="24.75" x14ac:dyDescent="0.25">
      <c r="A71" s="5" t="s">
        <v>26</v>
      </c>
      <c r="B71" s="5" t="s">
        <v>37</v>
      </c>
      <c r="C71" s="5" t="s">
        <v>46</v>
      </c>
      <c r="D71" s="5" t="s">
        <v>68</v>
      </c>
      <c r="E71" s="5" t="s">
        <v>34</v>
      </c>
      <c r="F71" s="5" t="s">
        <v>118</v>
      </c>
      <c r="G71" s="5">
        <v>2019</v>
      </c>
      <c r="H71" s="5" t="str">
        <f>CONCATENATE("94241091845")</f>
        <v>94241091845</v>
      </c>
      <c r="I71" s="5" t="s">
        <v>35</v>
      </c>
      <c r="J71" s="5" t="s">
        <v>30</v>
      </c>
      <c r="K71" s="5" t="str">
        <f>CONCATENATE("")</f>
        <v/>
      </c>
      <c r="L71" s="5" t="str">
        <f>CONCATENATE("14 14.1 3a")</f>
        <v>14 14.1 3a</v>
      </c>
      <c r="M71" s="5" t="str">
        <f>CONCATENATE("01377200439")</f>
        <v>01377200439</v>
      </c>
      <c r="N71" s="5" t="s">
        <v>158</v>
      </c>
      <c r="O71" s="5" t="s">
        <v>88</v>
      </c>
      <c r="P71" s="6">
        <v>43964</v>
      </c>
      <c r="Q71" s="5" t="s">
        <v>31</v>
      </c>
      <c r="R71" s="5" t="s">
        <v>39</v>
      </c>
      <c r="S71" s="5" t="s">
        <v>33</v>
      </c>
      <c r="T71" s="5"/>
      <c r="U71" s="7">
        <v>1179.9000000000001</v>
      </c>
      <c r="V71" s="5">
        <v>508.77</v>
      </c>
      <c r="W71" s="5">
        <v>469.84</v>
      </c>
      <c r="X71" s="5">
        <v>0</v>
      </c>
      <c r="Y71" s="5">
        <v>201.29</v>
      </c>
    </row>
    <row r="72" spans="1:25" ht="24.75" x14ac:dyDescent="0.25">
      <c r="A72" s="5" t="s">
        <v>26</v>
      </c>
      <c r="B72" s="5" t="s">
        <v>37</v>
      </c>
      <c r="C72" s="5" t="s">
        <v>46</v>
      </c>
      <c r="D72" s="5" t="s">
        <v>47</v>
      </c>
      <c r="E72" s="5" t="s">
        <v>41</v>
      </c>
      <c r="F72" s="5" t="s">
        <v>96</v>
      </c>
      <c r="G72" s="5">
        <v>2019</v>
      </c>
      <c r="H72" s="5" t="str">
        <f>CONCATENATE("94240740681")</f>
        <v>94240740681</v>
      </c>
      <c r="I72" s="5" t="s">
        <v>35</v>
      </c>
      <c r="J72" s="5" t="s">
        <v>30</v>
      </c>
      <c r="K72" s="5" t="str">
        <f>CONCATENATE("")</f>
        <v/>
      </c>
      <c r="L72" s="5" t="str">
        <f>CONCATENATE("14 14.1 3a")</f>
        <v>14 14.1 3a</v>
      </c>
      <c r="M72" s="5" t="str">
        <f>CONCATENATE("CRTNRC64P10A271R")</f>
        <v>CRTNRC64P10A271R</v>
      </c>
      <c r="N72" s="5" t="s">
        <v>159</v>
      </c>
      <c r="O72" s="5" t="s">
        <v>88</v>
      </c>
      <c r="P72" s="6">
        <v>43964</v>
      </c>
      <c r="Q72" s="5" t="s">
        <v>31</v>
      </c>
      <c r="R72" s="5" t="s">
        <v>39</v>
      </c>
      <c r="S72" s="5" t="s">
        <v>33</v>
      </c>
      <c r="T72" s="5"/>
      <c r="U72" s="5">
        <v>648</v>
      </c>
      <c r="V72" s="5">
        <v>279.42</v>
      </c>
      <c r="W72" s="5">
        <v>258.02999999999997</v>
      </c>
      <c r="X72" s="5">
        <v>0</v>
      </c>
      <c r="Y72" s="5">
        <v>110.55</v>
      </c>
    </row>
    <row r="73" spans="1:25" ht="24.75" x14ac:dyDescent="0.25">
      <c r="A73" s="5" t="s">
        <v>26</v>
      </c>
      <c r="B73" s="5" t="s">
        <v>37</v>
      </c>
      <c r="C73" s="5" t="s">
        <v>46</v>
      </c>
      <c r="D73" s="5" t="s">
        <v>51</v>
      </c>
      <c r="E73" s="5" t="s">
        <v>41</v>
      </c>
      <c r="F73" s="5" t="s">
        <v>55</v>
      </c>
      <c r="G73" s="5">
        <v>2019</v>
      </c>
      <c r="H73" s="5" t="str">
        <f>CONCATENATE("94240587710")</f>
        <v>94240587710</v>
      </c>
      <c r="I73" s="5" t="s">
        <v>35</v>
      </c>
      <c r="J73" s="5" t="s">
        <v>30</v>
      </c>
      <c r="K73" s="5" t="str">
        <f>CONCATENATE("")</f>
        <v/>
      </c>
      <c r="L73" s="5" t="str">
        <f>CONCATENATE("14 14.1 3a")</f>
        <v>14 14.1 3a</v>
      </c>
      <c r="M73" s="5" t="str">
        <f>CONCATENATE("MRNMRT60B64A740Q")</f>
        <v>MRNMRT60B64A740Q</v>
      </c>
      <c r="N73" s="5" t="s">
        <v>160</v>
      </c>
      <c r="O73" s="5" t="s">
        <v>88</v>
      </c>
      <c r="P73" s="6">
        <v>43964</v>
      </c>
      <c r="Q73" s="5" t="s">
        <v>31</v>
      </c>
      <c r="R73" s="5" t="s">
        <v>39</v>
      </c>
      <c r="S73" s="5" t="s">
        <v>33</v>
      </c>
      <c r="T73" s="5"/>
      <c r="U73" s="7">
        <v>1539.15</v>
      </c>
      <c r="V73" s="5">
        <v>663.68</v>
      </c>
      <c r="W73" s="5">
        <v>612.89</v>
      </c>
      <c r="X73" s="5">
        <v>0</v>
      </c>
      <c r="Y73" s="5">
        <v>262.58</v>
      </c>
    </row>
    <row r="74" spans="1:25" ht="24.75" x14ac:dyDescent="0.25">
      <c r="A74" s="5" t="s">
        <v>26</v>
      </c>
      <c r="B74" s="5" t="s">
        <v>37</v>
      </c>
      <c r="C74" s="5" t="s">
        <v>46</v>
      </c>
      <c r="D74" s="5" t="s">
        <v>68</v>
      </c>
      <c r="E74" s="5" t="s">
        <v>41</v>
      </c>
      <c r="F74" s="5" t="s">
        <v>150</v>
      </c>
      <c r="G74" s="5">
        <v>2019</v>
      </c>
      <c r="H74" s="5" t="str">
        <f>CONCATENATE("94240929938")</f>
        <v>94240929938</v>
      </c>
      <c r="I74" s="5" t="s">
        <v>35</v>
      </c>
      <c r="J74" s="5" t="s">
        <v>30</v>
      </c>
      <c r="K74" s="5" t="str">
        <f>CONCATENATE("")</f>
        <v/>
      </c>
      <c r="L74" s="5" t="str">
        <f>CONCATENATE("14 14.1 3a")</f>
        <v>14 14.1 3a</v>
      </c>
      <c r="M74" s="5" t="str">
        <f>CONCATENATE("01945810438")</f>
        <v>01945810438</v>
      </c>
      <c r="N74" s="5" t="s">
        <v>161</v>
      </c>
      <c r="O74" s="5" t="s">
        <v>88</v>
      </c>
      <c r="P74" s="6">
        <v>43964</v>
      </c>
      <c r="Q74" s="5" t="s">
        <v>31</v>
      </c>
      <c r="R74" s="5" t="s">
        <v>39</v>
      </c>
      <c r="S74" s="5" t="s">
        <v>33</v>
      </c>
      <c r="T74" s="5"/>
      <c r="U74" s="7">
        <v>2085.3000000000002</v>
      </c>
      <c r="V74" s="5">
        <v>899.18</v>
      </c>
      <c r="W74" s="5">
        <v>830.37</v>
      </c>
      <c r="X74" s="5">
        <v>0</v>
      </c>
      <c r="Y74" s="5">
        <v>355.75</v>
      </c>
    </row>
    <row r="75" spans="1:25" ht="24.75" x14ac:dyDescent="0.25">
      <c r="A75" s="5" t="s">
        <v>26</v>
      </c>
      <c r="B75" s="5" t="s">
        <v>37</v>
      </c>
      <c r="C75" s="5" t="s">
        <v>46</v>
      </c>
      <c r="D75" s="5" t="s">
        <v>51</v>
      </c>
      <c r="E75" s="5" t="s">
        <v>41</v>
      </c>
      <c r="F75" s="5" t="s">
        <v>55</v>
      </c>
      <c r="G75" s="5">
        <v>2019</v>
      </c>
      <c r="H75" s="5" t="str">
        <f>CONCATENATE("94240274418")</f>
        <v>94240274418</v>
      </c>
      <c r="I75" s="5" t="s">
        <v>35</v>
      </c>
      <c r="J75" s="5" t="s">
        <v>30</v>
      </c>
      <c r="K75" s="5" t="str">
        <f>CONCATENATE("")</f>
        <v/>
      </c>
      <c r="L75" s="5" t="str">
        <f>CONCATENATE("14 14.1 3a")</f>
        <v>14 14.1 3a</v>
      </c>
      <c r="M75" s="5" t="str">
        <f>CONCATENATE("02607030414")</f>
        <v>02607030414</v>
      </c>
      <c r="N75" s="5" t="s">
        <v>162</v>
      </c>
      <c r="O75" s="5" t="s">
        <v>88</v>
      </c>
      <c r="P75" s="6">
        <v>43964</v>
      </c>
      <c r="Q75" s="5" t="s">
        <v>31</v>
      </c>
      <c r="R75" s="5" t="s">
        <v>39</v>
      </c>
      <c r="S75" s="5" t="s">
        <v>33</v>
      </c>
      <c r="T75" s="5"/>
      <c r="U75" s="7">
        <v>1062.51</v>
      </c>
      <c r="V75" s="5">
        <v>458.15</v>
      </c>
      <c r="W75" s="5">
        <v>423.09</v>
      </c>
      <c r="X75" s="5">
        <v>0</v>
      </c>
      <c r="Y75" s="5">
        <v>181.27</v>
      </c>
    </row>
    <row r="76" spans="1:25" ht="24.75" x14ac:dyDescent="0.25">
      <c r="A76" s="5" t="s">
        <v>26</v>
      </c>
      <c r="B76" s="5" t="s">
        <v>37</v>
      </c>
      <c r="C76" s="5" t="s">
        <v>46</v>
      </c>
      <c r="D76" s="5" t="s">
        <v>68</v>
      </c>
      <c r="E76" s="5" t="s">
        <v>41</v>
      </c>
      <c r="F76" s="5" t="s">
        <v>150</v>
      </c>
      <c r="G76" s="5">
        <v>2019</v>
      </c>
      <c r="H76" s="5" t="str">
        <f>CONCATENATE("94240667009")</f>
        <v>94240667009</v>
      </c>
      <c r="I76" s="5" t="s">
        <v>35</v>
      </c>
      <c r="J76" s="5" t="s">
        <v>30</v>
      </c>
      <c r="K76" s="5" t="str">
        <f>CONCATENATE("")</f>
        <v/>
      </c>
      <c r="L76" s="5" t="str">
        <f>CONCATENATE("14 14.1 3a")</f>
        <v>14 14.1 3a</v>
      </c>
      <c r="M76" s="5" t="str">
        <f>CONCATENATE("01710780436")</f>
        <v>01710780436</v>
      </c>
      <c r="N76" s="5" t="s">
        <v>163</v>
      </c>
      <c r="O76" s="5" t="s">
        <v>88</v>
      </c>
      <c r="P76" s="6">
        <v>43964</v>
      </c>
      <c r="Q76" s="5" t="s">
        <v>31</v>
      </c>
      <c r="R76" s="5" t="s">
        <v>39</v>
      </c>
      <c r="S76" s="5" t="s">
        <v>33</v>
      </c>
      <c r="T76" s="5"/>
      <c r="U76" s="7">
        <v>1236.9000000000001</v>
      </c>
      <c r="V76" s="5">
        <v>533.35</v>
      </c>
      <c r="W76" s="5">
        <v>492.53</v>
      </c>
      <c r="X76" s="5">
        <v>0</v>
      </c>
      <c r="Y76" s="5">
        <v>211.02</v>
      </c>
    </row>
    <row r="77" spans="1:25" ht="24.75" x14ac:dyDescent="0.25">
      <c r="A77" s="5" t="s">
        <v>26</v>
      </c>
      <c r="B77" s="5" t="s">
        <v>37</v>
      </c>
      <c r="C77" s="5" t="s">
        <v>46</v>
      </c>
      <c r="D77" s="5" t="s">
        <v>51</v>
      </c>
      <c r="E77" s="5" t="s">
        <v>41</v>
      </c>
      <c r="F77" s="5" t="s">
        <v>103</v>
      </c>
      <c r="G77" s="5">
        <v>2019</v>
      </c>
      <c r="H77" s="5" t="str">
        <f>CONCATENATE("94240156250")</f>
        <v>94240156250</v>
      </c>
      <c r="I77" s="5" t="s">
        <v>35</v>
      </c>
      <c r="J77" s="5" t="s">
        <v>30</v>
      </c>
      <c r="K77" s="5" t="str">
        <f>CONCATENATE("")</f>
        <v/>
      </c>
      <c r="L77" s="5" t="str">
        <f>CONCATENATE("14 14.1 3a")</f>
        <v>14 14.1 3a</v>
      </c>
      <c r="M77" s="5" t="str">
        <f>CONCATENATE("02440980411")</f>
        <v>02440980411</v>
      </c>
      <c r="N77" s="5" t="s">
        <v>164</v>
      </c>
      <c r="O77" s="5" t="s">
        <v>88</v>
      </c>
      <c r="P77" s="6">
        <v>43964</v>
      </c>
      <c r="Q77" s="5" t="s">
        <v>31</v>
      </c>
      <c r="R77" s="5" t="s">
        <v>39</v>
      </c>
      <c r="S77" s="5" t="s">
        <v>33</v>
      </c>
      <c r="T77" s="5"/>
      <c r="U77" s="5">
        <v>873.84</v>
      </c>
      <c r="V77" s="5">
        <v>376.8</v>
      </c>
      <c r="W77" s="5">
        <v>347.96</v>
      </c>
      <c r="X77" s="5">
        <v>0</v>
      </c>
      <c r="Y77" s="5">
        <v>149.08000000000001</v>
      </c>
    </row>
    <row r="78" spans="1:25" x14ac:dyDescent="0.25">
      <c r="A78" s="5" t="s">
        <v>26</v>
      </c>
      <c r="B78" s="5" t="s">
        <v>37</v>
      </c>
      <c r="C78" s="5" t="s">
        <v>46</v>
      </c>
      <c r="D78" s="5" t="s">
        <v>68</v>
      </c>
      <c r="E78" s="5" t="s">
        <v>41</v>
      </c>
      <c r="F78" s="5" t="s">
        <v>74</v>
      </c>
      <c r="G78" s="5">
        <v>2019</v>
      </c>
      <c r="H78" s="5" t="str">
        <f>CONCATENATE("94241062630")</f>
        <v>94241062630</v>
      </c>
      <c r="I78" s="5" t="s">
        <v>35</v>
      </c>
      <c r="J78" s="5" t="s">
        <v>30</v>
      </c>
      <c r="K78" s="5" t="str">
        <f>CONCATENATE("")</f>
        <v/>
      </c>
      <c r="L78" s="5" t="str">
        <f>CONCATENATE("14 14.1 3a")</f>
        <v>14 14.1 3a</v>
      </c>
      <c r="M78" s="5" t="str">
        <f>CONCATENATE("01724150436")</f>
        <v>01724150436</v>
      </c>
      <c r="N78" s="5" t="s">
        <v>165</v>
      </c>
      <c r="O78" s="5" t="s">
        <v>88</v>
      </c>
      <c r="P78" s="6">
        <v>43964</v>
      </c>
      <c r="Q78" s="5" t="s">
        <v>31</v>
      </c>
      <c r="R78" s="5" t="s">
        <v>39</v>
      </c>
      <c r="S78" s="5" t="s">
        <v>33</v>
      </c>
      <c r="T78" s="5"/>
      <c r="U78" s="7">
        <v>3315</v>
      </c>
      <c r="V78" s="7">
        <v>1429.43</v>
      </c>
      <c r="W78" s="7">
        <v>1320.03</v>
      </c>
      <c r="X78" s="5">
        <v>0</v>
      </c>
      <c r="Y78" s="5">
        <v>565.54</v>
      </c>
    </row>
    <row r="79" spans="1:25" ht="24.75" x14ac:dyDescent="0.25">
      <c r="A79" s="5" t="s">
        <v>26</v>
      </c>
      <c r="B79" s="5" t="s">
        <v>37</v>
      </c>
      <c r="C79" s="5" t="s">
        <v>46</v>
      </c>
      <c r="D79" s="5" t="s">
        <v>51</v>
      </c>
      <c r="E79" s="5" t="s">
        <v>41</v>
      </c>
      <c r="F79" s="5" t="s">
        <v>64</v>
      </c>
      <c r="G79" s="5">
        <v>2019</v>
      </c>
      <c r="H79" s="5" t="str">
        <f>CONCATENATE("94240893126")</f>
        <v>94240893126</v>
      </c>
      <c r="I79" s="5" t="s">
        <v>35</v>
      </c>
      <c r="J79" s="5" t="s">
        <v>30</v>
      </c>
      <c r="K79" s="5" t="str">
        <f>CONCATENATE("")</f>
        <v/>
      </c>
      <c r="L79" s="5" t="str">
        <f>CONCATENATE("14 14.1 3a")</f>
        <v>14 14.1 3a</v>
      </c>
      <c r="M79" s="5" t="str">
        <f>CONCATENATE("02393390410")</f>
        <v>02393390410</v>
      </c>
      <c r="N79" s="5" t="s">
        <v>166</v>
      </c>
      <c r="O79" s="5" t="s">
        <v>88</v>
      </c>
      <c r="P79" s="6">
        <v>43964</v>
      </c>
      <c r="Q79" s="5" t="s">
        <v>31</v>
      </c>
      <c r="R79" s="5" t="s">
        <v>39</v>
      </c>
      <c r="S79" s="5" t="s">
        <v>33</v>
      </c>
      <c r="T79" s="5"/>
      <c r="U79" s="7">
        <v>2816.7</v>
      </c>
      <c r="V79" s="7">
        <v>1214.56</v>
      </c>
      <c r="W79" s="7">
        <v>1121.6099999999999</v>
      </c>
      <c r="X79" s="5">
        <v>0</v>
      </c>
      <c r="Y79" s="5">
        <v>480.53</v>
      </c>
    </row>
    <row r="80" spans="1:25" ht="24.75" x14ac:dyDescent="0.25">
      <c r="A80" s="5" t="s">
        <v>26</v>
      </c>
      <c r="B80" s="5" t="s">
        <v>37</v>
      </c>
      <c r="C80" s="5" t="s">
        <v>46</v>
      </c>
      <c r="D80" s="5" t="s">
        <v>51</v>
      </c>
      <c r="E80" s="5" t="s">
        <v>43</v>
      </c>
      <c r="F80" s="5" t="s">
        <v>107</v>
      </c>
      <c r="G80" s="5">
        <v>2019</v>
      </c>
      <c r="H80" s="5" t="str">
        <f>CONCATENATE("94240763568")</f>
        <v>94240763568</v>
      </c>
      <c r="I80" s="5" t="s">
        <v>35</v>
      </c>
      <c r="J80" s="5" t="s">
        <v>30</v>
      </c>
      <c r="K80" s="5" t="str">
        <f>CONCATENATE("")</f>
        <v/>
      </c>
      <c r="L80" s="5" t="str">
        <f>CONCATENATE("14 14.1 3a")</f>
        <v>14 14.1 3a</v>
      </c>
      <c r="M80" s="5" t="str">
        <f>CONCATENATE("02600130419")</f>
        <v>02600130419</v>
      </c>
      <c r="N80" s="5" t="s">
        <v>167</v>
      </c>
      <c r="O80" s="5" t="s">
        <v>88</v>
      </c>
      <c r="P80" s="6">
        <v>43964</v>
      </c>
      <c r="Q80" s="5" t="s">
        <v>31</v>
      </c>
      <c r="R80" s="5" t="s">
        <v>39</v>
      </c>
      <c r="S80" s="5" t="s">
        <v>33</v>
      </c>
      <c r="T80" s="5"/>
      <c r="U80" s="5">
        <v>926.25</v>
      </c>
      <c r="V80" s="5">
        <v>399.4</v>
      </c>
      <c r="W80" s="5">
        <v>368.83</v>
      </c>
      <c r="X80" s="5">
        <v>0</v>
      </c>
      <c r="Y80" s="5">
        <v>158.02000000000001</v>
      </c>
    </row>
    <row r="81" spans="1:25" ht="24.75" x14ac:dyDescent="0.25">
      <c r="A81" s="5" t="s">
        <v>26</v>
      </c>
      <c r="B81" s="5" t="s">
        <v>37</v>
      </c>
      <c r="C81" s="5" t="s">
        <v>46</v>
      </c>
      <c r="D81" s="5" t="s">
        <v>47</v>
      </c>
      <c r="E81" s="5" t="s">
        <v>44</v>
      </c>
      <c r="F81" s="5" t="s">
        <v>78</v>
      </c>
      <c r="G81" s="5">
        <v>2019</v>
      </c>
      <c r="H81" s="5" t="str">
        <f>CONCATENATE("94240993165")</f>
        <v>94240993165</v>
      </c>
      <c r="I81" s="5" t="s">
        <v>35</v>
      </c>
      <c r="J81" s="5" t="s">
        <v>30</v>
      </c>
      <c r="K81" s="5" t="str">
        <f>CONCATENATE("")</f>
        <v/>
      </c>
      <c r="L81" s="5" t="str">
        <f>CONCATENATE("14 14.1 3a")</f>
        <v>14 14.1 3a</v>
      </c>
      <c r="M81" s="5" t="str">
        <f>CONCATENATE("02200520423")</f>
        <v>02200520423</v>
      </c>
      <c r="N81" s="5" t="s">
        <v>168</v>
      </c>
      <c r="O81" s="5" t="s">
        <v>88</v>
      </c>
      <c r="P81" s="6">
        <v>43964</v>
      </c>
      <c r="Q81" s="5" t="s">
        <v>31</v>
      </c>
      <c r="R81" s="5" t="s">
        <v>39</v>
      </c>
      <c r="S81" s="5" t="s">
        <v>33</v>
      </c>
      <c r="T81" s="5"/>
      <c r="U81" s="7">
        <v>3435</v>
      </c>
      <c r="V81" s="7">
        <v>1481.17</v>
      </c>
      <c r="W81" s="7">
        <v>1367.82</v>
      </c>
      <c r="X81" s="5">
        <v>0</v>
      </c>
      <c r="Y81" s="5">
        <v>586.01</v>
      </c>
    </row>
    <row r="82" spans="1:25" ht="24.75" x14ac:dyDescent="0.25">
      <c r="A82" s="5" t="s">
        <v>26</v>
      </c>
      <c r="B82" s="5" t="s">
        <v>37</v>
      </c>
      <c r="C82" s="5" t="s">
        <v>46</v>
      </c>
      <c r="D82" s="5" t="s">
        <v>51</v>
      </c>
      <c r="E82" s="5" t="s">
        <v>44</v>
      </c>
      <c r="F82" s="5" t="s">
        <v>114</v>
      </c>
      <c r="G82" s="5">
        <v>2019</v>
      </c>
      <c r="H82" s="5" t="str">
        <f>CONCATENATE("94241096489")</f>
        <v>94241096489</v>
      </c>
      <c r="I82" s="5" t="s">
        <v>35</v>
      </c>
      <c r="J82" s="5" t="s">
        <v>30</v>
      </c>
      <c r="K82" s="5" t="str">
        <f>CONCATENATE("")</f>
        <v/>
      </c>
      <c r="L82" s="5" t="str">
        <f>CONCATENATE("14 14.1 3a")</f>
        <v>14 14.1 3a</v>
      </c>
      <c r="M82" s="5" t="str">
        <f>CONCATENATE("CNTNMR52A44F478T")</f>
        <v>CNTNMR52A44F478T</v>
      </c>
      <c r="N82" s="5" t="s">
        <v>169</v>
      </c>
      <c r="O82" s="5" t="s">
        <v>88</v>
      </c>
      <c r="P82" s="6">
        <v>43964</v>
      </c>
      <c r="Q82" s="5" t="s">
        <v>31</v>
      </c>
      <c r="R82" s="5" t="s">
        <v>39</v>
      </c>
      <c r="S82" s="5" t="s">
        <v>33</v>
      </c>
      <c r="T82" s="5"/>
      <c r="U82" s="7">
        <v>1608.75</v>
      </c>
      <c r="V82" s="5">
        <v>693.69</v>
      </c>
      <c r="W82" s="5">
        <v>640.6</v>
      </c>
      <c r="X82" s="5">
        <v>0</v>
      </c>
      <c r="Y82" s="5">
        <v>274.45999999999998</v>
      </c>
    </row>
    <row r="83" spans="1:25" ht="24.75" x14ac:dyDescent="0.25">
      <c r="A83" s="5" t="s">
        <v>26</v>
      </c>
      <c r="B83" s="5" t="s">
        <v>37</v>
      </c>
      <c r="C83" s="5" t="s">
        <v>46</v>
      </c>
      <c r="D83" s="5" t="s">
        <v>51</v>
      </c>
      <c r="E83" s="5" t="s">
        <v>41</v>
      </c>
      <c r="F83" s="5" t="s">
        <v>170</v>
      </c>
      <c r="G83" s="5">
        <v>2019</v>
      </c>
      <c r="H83" s="5" t="str">
        <f>CONCATENATE("94240779648")</f>
        <v>94240779648</v>
      </c>
      <c r="I83" s="5" t="s">
        <v>35</v>
      </c>
      <c r="J83" s="5" t="s">
        <v>30</v>
      </c>
      <c r="K83" s="5" t="str">
        <f>CONCATENATE("")</f>
        <v/>
      </c>
      <c r="L83" s="5" t="str">
        <f>CONCATENATE("14 14.1 3a")</f>
        <v>14 14.1 3a</v>
      </c>
      <c r="M83" s="5" t="str">
        <f>CONCATENATE("01213280413")</f>
        <v>01213280413</v>
      </c>
      <c r="N83" s="5" t="s">
        <v>171</v>
      </c>
      <c r="O83" s="5" t="s">
        <v>88</v>
      </c>
      <c r="P83" s="6">
        <v>43964</v>
      </c>
      <c r="Q83" s="5" t="s">
        <v>31</v>
      </c>
      <c r="R83" s="5" t="s">
        <v>39</v>
      </c>
      <c r="S83" s="5" t="s">
        <v>33</v>
      </c>
      <c r="T83" s="5"/>
      <c r="U83" s="7">
        <v>1271.04</v>
      </c>
      <c r="V83" s="5">
        <v>548.07000000000005</v>
      </c>
      <c r="W83" s="5">
        <v>506.13</v>
      </c>
      <c r="X83" s="5">
        <v>0</v>
      </c>
      <c r="Y83" s="5">
        <v>216.84</v>
      </c>
    </row>
    <row r="84" spans="1:25" ht="24.75" x14ac:dyDescent="0.25">
      <c r="A84" s="5" t="s">
        <v>26</v>
      </c>
      <c r="B84" s="5" t="s">
        <v>27</v>
      </c>
      <c r="C84" s="5" t="s">
        <v>46</v>
      </c>
      <c r="D84" s="5" t="s">
        <v>60</v>
      </c>
      <c r="E84" s="5" t="s">
        <v>42</v>
      </c>
      <c r="F84" s="5" t="s">
        <v>172</v>
      </c>
      <c r="G84" s="5">
        <v>2017</v>
      </c>
      <c r="H84" s="5" t="str">
        <f>CONCATENATE("04270042395")</f>
        <v>04270042395</v>
      </c>
      <c r="I84" s="5" t="s">
        <v>35</v>
      </c>
      <c r="J84" s="5" t="s">
        <v>30</v>
      </c>
      <c r="K84" s="5" t="str">
        <f>CONCATENATE("")</f>
        <v/>
      </c>
      <c r="L84" s="5" t="str">
        <f>CONCATENATE("4 4.1 2a")</f>
        <v>4 4.1 2a</v>
      </c>
      <c r="M84" s="5" t="str">
        <f>CONCATENATE("FBAMRC73S09H769L")</f>
        <v>FBAMRC73S09H769L</v>
      </c>
      <c r="N84" s="5" t="s">
        <v>173</v>
      </c>
      <c r="O84" s="5" t="s">
        <v>174</v>
      </c>
      <c r="P84" s="6">
        <v>43964</v>
      </c>
      <c r="Q84" s="5" t="s">
        <v>31</v>
      </c>
      <c r="R84" s="5" t="s">
        <v>36</v>
      </c>
      <c r="S84" s="5" t="s">
        <v>33</v>
      </c>
      <c r="T84" s="5"/>
      <c r="U84" s="7">
        <v>50265.55</v>
      </c>
      <c r="V84" s="7">
        <v>21674.51</v>
      </c>
      <c r="W84" s="7">
        <v>20015.740000000002</v>
      </c>
      <c r="X84" s="5">
        <v>0</v>
      </c>
      <c r="Y84" s="7">
        <v>8575.2999999999993</v>
      </c>
    </row>
    <row r="85" spans="1:25" ht="24.75" x14ac:dyDescent="0.25">
      <c r="A85" s="5" t="s">
        <v>26</v>
      </c>
      <c r="B85" s="5" t="s">
        <v>27</v>
      </c>
      <c r="C85" s="5" t="s">
        <v>46</v>
      </c>
      <c r="D85" s="5" t="s">
        <v>47</v>
      </c>
      <c r="E85" s="5" t="s">
        <v>28</v>
      </c>
      <c r="F85" s="5" t="s">
        <v>28</v>
      </c>
      <c r="G85" s="5">
        <v>2017</v>
      </c>
      <c r="H85" s="5" t="str">
        <f>CONCATENATE("94270173365")</f>
        <v>94270173365</v>
      </c>
      <c r="I85" s="5" t="s">
        <v>29</v>
      </c>
      <c r="J85" s="5" t="s">
        <v>30</v>
      </c>
      <c r="K85" s="5" t="str">
        <f>CONCATENATE("")</f>
        <v/>
      </c>
      <c r="L85" s="5" t="str">
        <f>CONCATENATE("19 19.4 6b")</f>
        <v>19 19.4 6b</v>
      </c>
      <c r="M85" s="5" t="str">
        <f>CONCATENATE("01119560439")</f>
        <v>01119560439</v>
      </c>
      <c r="N85" s="5" t="s">
        <v>175</v>
      </c>
      <c r="O85" s="5" t="s">
        <v>176</v>
      </c>
      <c r="P85" s="6">
        <v>43964</v>
      </c>
      <c r="Q85" s="5" t="s">
        <v>31</v>
      </c>
      <c r="R85" s="5" t="s">
        <v>32</v>
      </c>
      <c r="S85" s="5" t="s">
        <v>33</v>
      </c>
      <c r="T85" s="5"/>
      <c r="U85" s="7">
        <v>272674.34000000003</v>
      </c>
      <c r="V85" s="7">
        <v>117577.18</v>
      </c>
      <c r="W85" s="7">
        <v>108578.92</v>
      </c>
      <c r="X85" s="5">
        <v>0</v>
      </c>
      <c r="Y85" s="7">
        <v>46518.239999999998</v>
      </c>
    </row>
    <row r="86" spans="1:25" x14ac:dyDescent="0.25">
      <c r="A86" s="5" t="s">
        <v>26</v>
      </c>
      <c r="B86" s="5" t="s">
        <v>27</v>
      </c>
      <c r="C86" s="5" t="s">
        <v>46</v>
      </c>
      <c r="D86" s="5" t="s">
        <v>68</v>
      </c>
      <c r="E86" s="5" t="s">
        <v>28</v>
      </c>
      <c r="F86" s="5" t="s">
        <v>28</v>
      </c>
      <c r="G86" s="5">
        <v>2017</v>
      </c>
      <c r="H86" s="5" t="str">
        <f>CONCATENATE("04270046503")</f>
        <v>04270046503</v>
      </c>
      <c r="I86" s="5" t="s">
        <v>35</v>
      </c>
      <c r="J86" s="5" t="s">
        <v>30</v>
      </c>
      <c r="K86" s="5" t="str">
        <f>CONCATENATE("")</f>
        <v/>
      </c>
      <c r="L86" s="5" t="str">
        <f>CONCATENATE("1 1.1 2a")</f>
        <v>1 1.1 2a</v>
      </c>
      <c r="M86" s="5" t="str">
        <f>CONCATENATE("02051370423")</f>
        <v>02051370423</v>
      </c>
      <c r="N86" s="5" t="s">
        <v>69</v>
      </c>
      <c r="O86" s="5" t="s">
        <v>177</v>
      </c>
      <c r="P86" s="6">
        <v>43964</v>
      </c>
      <c r="Q86" s="5" t="s">
        <v>31</v>
      </c>
      <c r="R86" s="5" t="s">
        <v>39</v>
      </c>
      <c r="S86" s="5" t="s">
        <v>33</v>
      </c>
      <c r="T86" s="5"/>
      <c r="U86" s="7">
        <v>1408</v>
      </c>
      <c r="V86" s="5">
        <v>607.13</v>
      </c>
      <c r="W86" s="5">
        <v>560.66999999999996</v>
      </c>
      <c r="X86" s="5">
        <v>0</v>
      </c>
      <c r="Y86" s="5">
        <v>240.2</v>
      </c>
    </row>
    <row r="87" spans="1:25" x14ac:dyDescent="0.25">
      <c r="A87" s="5" t="s">
        <v>26</v>
      </c>
      <c r="B87" s="5" t="s">
        <v>27</v>
      </c>
      <c r="C87" s="5" t="s">
        <v>46</v>
      </c>
      <c r="D87" s="5" t="s">
        <v>68</v>
      </c>
      <c r="E87" s="5" t="s">
        <v>28</v>
      </c>
      <c r="F87" s="5" t="s">
        <v>28</v>
      </c>
      <c r="G87" s="5">
        <v>2017</v>
      </c>
      <c r="H87" s="5" t="str">
        <f>CONCATENATE("04270046487")</f>
        <v>04270046487</v>
      </c>
      <c r="I87" s="5" t="s">
        <v>35</v>
      </c>
      <c r="J87" s="5" t="s">
        <v>30</v>
      </c>
      <c r="K87" s="5" t="str">
        <f>CONCATENATE("")</f>
        <v/>
      </c>
      <c r="L87" s="5" t="str">
        <f>CONCATENATE("1 1.1 2a")</f>
        <v>1 1.1 2a</v>
      </c>
      <c r="M87" s="5" t="str">
        <f>CONCATENATE("02051370423")</f>
        <v>02051370423</v>
      </c>
      <c r="N87" s="5" t="s">
        <v>69</v>
      </c>
      <c r="O87" s="5" t="s">
        <v>177</v>
      </c>
      <c r="P87" s="6">
        <v>43964</v>
      </c>
      <c r="Q87" s="5" t="s">
        <v>31</v>
      </c>
      <c r="R87" s="5" t="s">
        <v>39</v>
      </c>
      <c r="S87" s="5" t="s">
        <v>33</v>
      </c>
      <c r="T87" s="5"/>
      <c r="U87" s="7">
        <v>1650</v>
      </c>
      <c r="V87" s="5">
        <v>711.48</v>
      </c>
      <c r="W87" s="5">
        <v>657.03</v>
      </c>
      <c r="X87" s="5">
        <v>0</v>
      </c>
      <c r="Y87" s="5">
        <v>281.49</v>
      </c>
    </row>
    <row r="88" spans="1:25" x14ac:dyDescent="0.25">
      <c r="A88" s="5" t="s">
        <v>26</v>
      </c>
      <c r="B88" s="5" t="s">
        <v>27</v>
      </c>
      <c r="C88" s="5" t="s">
        <v>46</v>
      </c>
      <c r="D88" s="5" t="s">
        <v>68</v>
      </c>
      <c r="E88" s="5" t="s">
        <v>28</v>
      </c>
      <c r="F88" s="5" t="s">
        <v>28</v>
      </c>
      <c r="G88" s="5">
        <v>2017</v>
      </c>
      <c r="H88" s="5" t="str">
        <f>CONCATENATE("04270046495")</f>
        <v>04270046495</v>
      </c>
      <c r="I88" s="5" t="s">
        <v>35</v>
      </c>
      <c r="J88" s="5" t="s">
        <v>30</v>
      </c>
      <c r="K88" s="5" t="str">
        <f>CONCATENATE("")</f>
        <v/>
      </c>
      <c r="L88" s="5" t="str">
        <f>CONCATENATE("1 1.1 2a")</f>
        <v>1 1.1 2a</v>
      </c>
      <c r="M88" s="5" t="str">
        <f>CONCATENATE("02051370423")</f>
        <v>02051370423</v>
      </c>
      <c r="N88" s="5" t="s">
        <v>69</v>
      </c>
      <c r="O88" s="5" t="s">
        <v>177</v>
      </c>
      <c r="P88" s="6">
        <v>43964</v>
      </c>
      <c r="Q88" s="5" t="s">
        <v>31</v>
      </c>
      <c r="R88" s="5" t="s">
        <v>39</v>
      </c>
      <c r="S88" s="5" t="s">
        <v>33</v>
      </c>
      <c r="T88" s="5"/>
      <c r="U88" s="7">
        <v>1716</v>
      </c>
      <c r="V88" s="5">
        <v>739.94</v>
      </c>
      <c r="W88" s="5">
        <v>683.31</v>
      </c>
      <c r="X88" s="5">
        <v>0</v>
      </c>
      <c r="Y88" s="5">
        <v>292.75</v>
      </c>
    </row>
    <row r="89" spans="1:25" x14ac:dyDescent="0.25">
      <c r="A89" s="5" t="s">
        <v>26</v>
      </c>
      <c r="B89" s="5" t="s">
        <v>27</v>
      </c>
      <c r="C89" s="5" t="s">
        <v>46</v>
      </c>
      <c r="D89" s="5" t="s">
        <v>68</v>
      </c>
      <c r="E89" s="5" t="s">
        <v>178</v>
      </c>
      <c r="F89" s="5" t="s">
        <v>179</v>
      </c>
      <c r="G89" s="5">
        <v>2017</v>
      </c>
      <c r="H89" s="5" t="str">
        <f>CONCATENATE("94270173951")</f>
        <v>94270173951</v>
      </c>
      <c r="I89" s="5" t="s">
        <v>29</v>
      </c>
      <c r="J89" s="5" t="s">
        <v>30</v>
      </c>
      <c r="K89" s="5" t="str">
        <f>CONCATENATE("")</f>
        <v/>
      </c>
      <c r="L89" s="5" t="str">
        <f>CONCATENATE("8 8.6 5c")</f>
        <v>8 8.6 5c</v>
      </c>
      <c r="M89" s="5" t="str">
        <f>CONCATENATE("CSRCLD80D09E388V")</f>
        <v>CSRCLD80D09E388V</v>
      </c>
      <c r="N89" s="5" t="s">
        <v>180</v>
      </c>
      <c r="O89" s="5" t="s">
        <v>181</v>
      </c>
      <c r="P89" s="6">
        <v>43964</v>
      </c>
      <c r="Q89" s="5" t="s">
        <v>31</v>
      </c>
      <c r="R89" s="5" t="s">
        <v>39</v>
      </c>
      <c r="S89" s="5" t="s">
        <v>33</v>
      </c>
      <c r="T89" s="5"/>
      <c r="U89" s="7">
        <v>152852.78</v>
      </c>
      <c r="V89" s="7">
        <v>65910.12</v>
      </c>
      <c r="W89" s="7">
        <v>60865.98</v>
      </c>
      <c r="X89" s="5">
        <v>0</v>
      </c>
      <c r="Y89" s="7">
        <v>26076.68</v>
      </c>
    </row>
    <row r="90" spans="1:25" ht="24.75" x14ac:dyDescent="0.25">
      <c r="A90" s="5" t="s">
        <v>26</v>
      </c>
      <c r="B90" s="5" t="s">
        <v>27</v>
      </c>
      <c r="C90" s="5" t="s">
        <v>46</v>
      </c>
      <c r="D90" s="5" t="s">
        <v>51</v>
      </c>
      <c r="E90" s="5" t="s">
        <v>28</v>
      </c>
      <c r="F90" s="5" t="s">
        <v>28</v>
      </c>
      <c r="G90" s="5">
        <v>2017</v>
      </c>
      <c r="H90" s="5" t="str">
        <f>CONCATENATE("04270042338")</f>
        <v>04270042338</v>
      </c>
      <c r="I90" s="5" t="s">
        <v>35</v>
      </c>
      <c r="J90" s="5" t="s">
        <v>30</v>
      </c>
      <c r="K90" s="5" t="str">
        <f>CONCATENATE("")</f>
        <v/>
      </c>
      <c r="L90" s="5" t="str">
        <f>CONCATENATE("4 4.1 2a")</f>
        <v>4 4.1 2a</v>
      </c>
      <c r="M90" s="5" t="str">
        <f>CONCATENATE("02638880415")</f>
        <v>02638880415</v>
      </c>
      <c r="N90" s="5" t="s">
        <v>182</v>
      </c>
      <c r="O90" s="5" t="s">
        <v>183</v>
      </c>
      <c r="P90" s="6">
        <v>43964</v>
      </c>
      <c r="Q90" s="5" t="s">
        <v>31</v>
      </c>
      <c r="R90" s="5" t="s">
        <v>36</v>
      </c>
      <c r="S90" s="5" t="s">
        <v>33</v>
      </c>
      <c r="T90" s="5"/>
      <c r="U90" s="7">
        <v>120739</v>
      </c>
      <c r="V90" s="7">
        <v>52062.66</v>
      </c>
      <c r="W90" s="7">
        <v>48078.27</v>
      </c>
      <c r="X90" s="5">
        <v>0</v>
      </c>
      <c r="Y90" s="7">
        <v>20598.07</v>
      </c>
    </row>
    <row r="91" spans="1:25" ht="24.75" x14ac:dyDescent="0.25">
      <c r="A91" s="5" t="s">
        <v>26</v>
      </c>
      <c r="B91" s="5" t="s">
        <v>27</v>
      </c>
      <c r="C91" s="5" t="s">
        <v>46</v>
      </c>
      <c r="D91" s="5" t="s">
        <v>60</v>
      </c>
      <c r="E91" s="5" t="s">
        <v>42</v>
      </c>
      <c r="F91" s="5" t="s">
        <v>172</v>
      </c>
      <c r="G91" s="5">
        <v>2017</v>
      </c>
      <c r="H91" s="5" t="str">
        <f>CONCATENATE("04270042346")</f>
        <v>04270042346</v>
      </c>
      <c r="I91" s="5" t="s">
        <v>35</v>
      </c>
      <c r="J91" s="5" t="s">
        <v>30</v>
      </c>
      <c r="K91" s="5" t="str">
        <f>CONCATENATE("")</f>
        <v/>
      </c>
      <c r="L91" s="5" t="str">
        <f>CONCATENATE("4 4.1 2a")</f>
        <v>4 4.1 2a</v>
      </c>
      <c r="M91" s="5" t="str">
        <f>CONCATENATE("02051090443")</f>
        <v>02051090443</v>
      </c>
      <c r="N91" s="5" t="s">
        <v>184</v>
      </c>
      <c r="O91" s="5" t="s">
        <v>183</v>
      </c>
      <c r="P91" s="6">
        <v>43964</v>
      </c>
      <c r="Q91" s="5" t="s">
        <v>31</v>
      </c>
      <c r="R91" s="5" t="s">
        <v>36</v>
      </c>
      <c r="S91" s="5" t="s">
        <v>33</v>
      </c>
      <c r="T91" s="5"/>
      <c r="U91" s="7">
        <v>12327.74</v>
      </c>
      <c r="V91" s="7">
        <v>5315.72</v>
      </c>
      <c r="W91" s="7">
        <v>4908.91</v>
      </c>
      <c r="X91" s="5">
        <v>0</v>
      </c>
      <c r="Y91" s="7">
        <v>2103.11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2020-05-25T10:29:01Z</dcterms:created>
  <dcterms:modified xsi:type="dcterms:W3CDTF">2020-05-25T10:29:54Z</dcterms:modified>
</cp:coreProperties>
</file>