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0\"/>
    </mc:Choice>
  </mc:AlternateContent>
  <xr:revisionPtr revIDLastSave="0" documentId="8_{2D384EF6-F9C9-4914-8DA7-C4CD0E13D3F5}" xr6:coauthVersionLast="45" xr6:coauthVersionMax="45" xr10:uidLastSave="{00000000-0000-0000-0000-000000000000}"/>
  <bookViews>
    <workbookView xWindow="-120" yWindow="-120" windowWidth="20730" windowHeight="11160" xr2:uid="{15A85D5F-FAAB-4479-AC7D-5AA06EB2CF3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0" i="1" l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<sst xmlns="http://schemas.openxmlformats.org/spreadsheetml/2006/main" count="1027" uniqueCount="151">
  <si>
    <t>Dettaglio Domande Pagabili Decreto 360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</si>
  <si>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</si>
  <si>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</si>
  <si>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</si>
  <si>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</si>
  <si>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</si>
  <si>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</si>
  <si>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</si>
  <si>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</si>
  <si>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</si>
  <si>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</si>
  <si>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</si>
  <si>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</si>
  <si>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</si>
  <si>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</si>
  <si>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</si>
  <si>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</si>
  <si>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</si>
  <si>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</si>
  <si>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</si>
  <si>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</si>
  <si>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</si>
  <si>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</si>
  <si>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</si>
  <si>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</si>
  <si>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</si>
  <si>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</si>
  <si>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</si>
  <si>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</si>
  <si>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</si>
  <si>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</si>
  <si>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</si>
  <si>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</si>
  <si>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</si>
  <si>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Misure a Superficie</t>
  </si>
  <si>
    <t>CAA CIA srl</t>
  </si>
  <si>
    <t>Trascinamenti</t>
  </si>
  <si>
    <t>CAA LiberiAgricoltori srl già CAA AGCI srl</t>
  </si>
  <si>
    <t>SAL</t>
  </si>
  <si>
    <t>CAA Coldiretti srl</t>
  </si>
  <si>
    <t>CAA UNICAA srl</t>
  </si>
  <si>
    <t>SI</t>
  </si>
  <si>
    <t>Anticipo</t>
  </si>
  <si>
    <t>CAA-CAF AGRI S.R.L.</t>
  </si>
  <si>
    <t>CAA Confagricoltura srl</t>
  </si>
  <si>
    <t>CAA UNSIC s.r.l.</t>
  </si>
  <si>
    <t>MARCHE</t>
  </si>
  <si>
    <t>SERV. DEC. AGRICOLTURA E ALIMENTAZIONE - PESARO</t>
  </si>
  <si>
    <t>CAA CIA - PESARO E URBINO - 003</t>
  </si>
  <si>
    <t>ALESSANDRINI LOREDANA</t>
  </si>
  <si>
    <t>AGEA.ASR.2020.0272763</t>
  </si>
  <si>
    <t>CAA CIA - PESARO E URBINO - 006</t>
  </si>
  <si>
    <t>BUSCA MICHELE</t>
  </si>
  <si>
    <t>ORLANDI ROSSANA</t>
  </si>
  <si>
    <t>SERV. DEC. AGRICOLTURA E ALIM. -ASCOLI PICENO</t>
  </si>
  <si>
    <t>NERI NATALE</t>
  </si>
  <si>
    <t>AGEA.ASR.2020.0110795</t>
  </si>
  <si>
    <t>IMPRESA VERDE MARCHE SRL</t>
  </si>
  <si>
    <t>AGEA.ASR.2020.0280187</t>
  </si>
  <si>
    <t>SERV. DEC. AGRICOLTURA E ALIM. - MACERATA</t>
  </si>
  <si>
    <t>CAA LiberiAgricoltori - MACERATA - 002</t>
  </si>
  <si>
    <t>COMUNANZA AGRARIA DI POGGIO LAVERINO</t>
  </si>
  <si>
    <t>AGEA.ASR.2020.0297321</t>
  </si>
  <si>
    <t>CAA CIA - MACERATA - 001</t>
  </si>
  <si>
    <t>"SOCIETA' AGRICOLA SEMPLICE DI NABISSI GRAZIANO E GIACOMO"</t>
  </si>
  <si>
    <t>AGEA.ASR.2020.0329202</t>
  </si>
  <si>
    <t>CAA Copagri srl</t>
  </si>
  <si>
    <t>CAA Copagri - ANCONA - 502</t>
  </si>
  <si>
    <t>CESARONI CLAUDIO</t>
  </si>
  <si>
    <t>AGEA.ASR.2020.0281773</t>
  </si>
  <si>
    <t>SERV. DEC. AGRICOLTURA E ALIMENTAZIONE - ANCONA</t>
  </si>
  <si>
    <t>AGEA.ASR.2020.0299271</t>
  </si>
  <si>
    <t>CAA CAF AGRI - MACERATA - 224</t>
  </si>
  <si>
    <t>AZIENDA AGRICOLA CAMPOGIANO S.A.S. DI RICOTTA LORENZO E C.</t>
  </si>
  <si>
    <t>CAA UNICAA - ASCOLI PICENO - 004</t>
  </si>
  <si>
    <t>NUCCI LUCIANO</t>
  </si>
  <si>
    <t>AGEA.ASR.2020.0329087</t>
  </si>
  <si>
    <t>CAA CIA - PESARO E URBINO - 001</t>
  </si>
  <si>
    <t>BIAGIOLI VALTER</t>
  </si>
  <si>
    <t>GIAVOLI CLAUDIO</t>
  </si>
  <si>
    <t>AGEA.ASR.2020.0328802</t>
  </si>
  <si>
    <t>CAA Coldiretti - PESARO E URBINO - 007</t>
  </si>
  <si>
    <t>SOCIETA' AGRICOLA F.LLI PAOLINI S.S.</t>
  </si>
  <si>
    <t>BARTOLINI FABIO</t>
  </si>
  <si>
    <t>GAMBINI PAOLO</t>
  </si>
  <si>
    <t>CONSORZIO MARCHE BIOLOGICHE SOC.COOP AGR</t>
  </si>
  <si>
    <t>AGEA.ASR.2020.0332993</t>
  </si>
  <si>
    <t>AGEA.ASR.2020.0299283</t>
  </si>
  <si>
    <t>AGEA.ASR.2020.0329201</t>
  </si>
  <si>
    <t>PIGNOTTI ADAMO</t>
  </si>
  <si>
    <t>SOCIETA' AGRICOLA D'ERCOLI ROBERTO E DANIELE SOCIETA' SEMPLICE</t>
  </si>
  <si>
    <t>CARASSAI MASSIMO</t>
  </si>
  <si>
    <t>AGEA.ASR.2020.0299261</t>
  </si>
  <si>
    <t>LU.SI. S.R.L.</t>
  </si>
  <si>
    <t>SANTONI FRANCESCA</t>
  </si>
  <si>
    <t>AGEA.ASR.2020.0305054</t>
  </si>
  <si>
    <t>CAA CIA - ASCOLI PICENO - 005</t>
  </si>
  <si>
    <t>MECOZZI GIULIETTO</t>
  </si>
  <si>
    <t>AGEA.ASR.2020.0332098</t>
  </si>
  <si>
    <t>CAA LiberiAgricoltori - MACERATA - 003</t>
  </si>
  <si>
    <t>SOCIETA' AGRICOLA FORESTALE MORICA SRL</t>
  </si>
  <si>
    <t>CAA Coldiretti - MACERATA - 010</t>
  </si>
  <si>
    <t>BOSCOROSSO SOCIETA' AGRICOLA A R.L.</t>
  </si>
  <si>
    <t>CAA Coldiretti - MACERATA - 008</t>
  </si>
  <si>
    <t>BERRIA BARBARA</t>
  </si>
  <si>
    <t>CAVALLINI ANTONELLA</t>
  </si>
  <si>
    <t>'PREMIER COPY IMMOBILIARE E COMMERCIALE S.R.L.'</t>
  </si>
  <si>
    <t>PALAZZI GIORGIO</t>
  </si>
  <si>
    <t>CAPECCI FLORIANA</t>
  </si>
  <si>
    <t>CAA CAF AGRI - FERMO - 222</t>
  </si>
  <si>
    <t>GEMINIANI PIO</t>
  </si>
  <si>
    <t>CAA LiberiAgricoltori - MACERATA - 001</t>
  </si>
  <si>
    <t>SOCIETA' COOPERATIVA PRODUTTORI AGRICOLI TREIESI</t>
  </si>
  <si>
    <t>PEROZZI CAMILLO</t>
  </si>
  <si>
    <t>CAA Coldiretti - FERMO - 001</t>
  </si>
  <si>
    <t>PULCINI BRUNO</t>
  </si>
  <si>
    <t>SOCIETA' AGRICOLA FIECCHI ADOLFO SOC. SEMPLICE</t>
  </si>
  <si>
    <t>CAA Coldiretti - MACERATA - 017</t>
  </si>
  <si>
    <t>CARSETTI PASQUALE</t>
  </si>
  <si>
    <t>SOCIETA' AGRICOLA ANGELI SOCIETA' SEMPLICE</t>
  </si>
  <si>
    <t>CAA Coldiretti - MACERATA - 007</t>
  </si>
  <si>
    <t>ANTENUCCI MAURO</t>
  </si>
  <si>
    <t>CARAFFA POMPONIO</t>
  </si>
  <si>
    <t>PAZZAGLINI PAOLO</t>
  </si>
  <si>
    <t>CAA AGRISERVIZI s.r.l.</t>
  </si>
  <si>
    <t>CAA AGRISERVIZI - LATINA - 001</t>
  </si>
  <si>
    <t>GALANTI GIORGIO</t>
  </si>
  <si>
    <t>AGEA.ASR.2020.0321487</t>
  </si>
  <si>
    <t>CAA CIA - ASCOLI PICENO - 001</t>
  </si>
  <si>
    <t>RANELLI MARCO</t>
  </si>
  <si>
    <t>AGEA.ASR.2020.0305034</t>
  </si>
  <si>
    <t>SOCIETA' AGRICOLA FRATELLI CACIORGNA S.S.</t>
  </si>
  <si>
    <t>AGEA.ASR.2020.0334130</t>
  </si>
  <si>
    <t>ANGELI MIRKO</t>
  </si>
  <si>
    <t>RICCIONI STEFANO</t>
  </si>
  <si>
    <t>CORRADINI LUIGI</t>
  </si>
  <si>
    <t>SOCIETA' AGRICOLA PISELLI PIETRO E C. SOC. SEMPLICE</t>
  </si>
  <si>
    <t>CAA Confagricoltura - MACERATA - 001</t>
  </si>
  <si>
    <t>SOCIETA' AGRICOLA RIPOSATI GIANNINO E ALDER JANETTE ELISABETH SOCIETA'</t>
  </si>
  <si>
    <t>ACCIARRI BRUNO</t>
  </si>
  <si>
    <t>FEDELI CHIARINA</t>
  </si>
  <si>
    <t>SOCIETA' AGRICOLA RIVELLI SOCIETA' SEMPLICE</t>
  </si>
  <si>
    <t>VALERIANI LINO</t>
  </si>
  <si>
    <t>STRADA PAOLO</t>
  </si>
  <si>
    <t>SOCIETA' AGRICOLA FABRIZI VENANZO FABRIZIO E LIBERTI ENZA S.S.</t>
  </si>
  <si>
    <t>FATTORI LUISA</t>
  </si>
  <si>
    <t>SEBASTIANI DAMIANO</t>
  </si>
  <si>
    <t>CAA Confagricoltura - ASCOLI PICENO - 001</t>
  </si>
  <si>
    <t>FELICI ALESSANDRA</t>
  </si>
  <si>
    <t>CAA UNSIC - ASCOLI PICENO - 001</t>
  </si>
  <si>
    <t>ALFONSI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</si>
</sst>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B913-8DB5-4070-ADC8-26CE54DE5363}">
  <dimension ref="A1:Y80"/>
  <sheetViews>
    <sheetView showGridLines="0" tabSelected="1" workbookViewId="0">
      <selection activeCell="E83" sqref="E8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34</v>
      </c>
      <c r="C4" s="5" t="s">
        <v>46</v>
      </c>
      <c r="D4" s="5" t="s">
        <v>47</v>
      </c>
      <c r="E4" s="5" t="s">
        <v>35</v>
      </c>
      <c r="F4" s="5" t="s">
        <v>48</v>
      </c>
      <c r="G4" s="5">
        <v>2019</v>
      </c>
      <c r="H4" s="5" t="str">
        <f>CONCATENATE("94240865694")</f>
        <v>94240865694</v>
      </c>
      <c r="I4" s="5" t="s">
        <v>29</v>
      </c>
      <c r="J4" s="5" t="s">
        <v>30</v>
      </c>
      <c r="K4" s="5" t="str">
        <f>CONCATENATE("")</f>
        <v/>
      </c>
      <c r="L4" s="5" t="str">
        <f>CONCATENATE("11 11.2 4b")</f>
        <v>11 11.2 4b</v>
      </c>
      <c r="M4" s="5" t="str">
        <f>CONCATENATE("LSSLDN61E57L500H")</f>
        <v>LSSLDN61E57L500H</v>
      </c>
      <c r="N4" s="5" t="s">
        <v>49</v>
      </c>
      <c r="O4" s="5" t="s">
        <v>50</v>
      </c>
      <c r="P4" s="6">
        <v>43927</v>
      </c>
      <c r="Q4" s="5" t="s">
        <v>31</v>
      </c>
      <c r="R4" s="5" t="s">
        <v>32</v>
      </c>
      <c r="S4" s="5" t="s">
        <v>33</v>
      </c>
      <c r="T4" s="5"/>
      <c r="U4" s="7">
        <v>1185.5899999999999</v>
      </c>
      <c r="V4" s="5">
        <v>511.23</v>
      </c>
      <c r="W4" s="5">
        <v>472.1</v>
      </c>
      <c r="X4" s="5">
        <v>0</v>
      </c>
      <c r="Y4" s="5">
        <v>202.26</v>
      </c>
    </row>
    <row r="5" spans="1:25" ht="24.75" x14ac:dyDescent="0.25">
      <c r="A5" s="5" t="s">
        <v>26</v>
      </c>
      <c r="B5" s="5" t="s">
        <v>34</v>
      </c>
      <c r="C5" s="5" t="s">
        <v>46</v>
      </c>
      <c r="D5" s="5" t="s">
        <v>47</v>
      </c>
      <c r="E5" s="5" t="s">
        <v>35</v>
      </c>
      <c r="F5" s="5" t="s">
        <v>51</v>
      </c>
      <c r="G5" s="5">
        <v>2019</v>
      </c>
      <c r="H5" s="5" t="str">
        <f>CONCATENATE("94240428501")</f>
        <v>94240428501</v>
      </c>
      <c r="I5" s="5" t="s">
        <v>29</v>
      </c>
      <c r="J5" s="5" t="s">
        <v>30</v>
      </c>
      <c r="K5" s="5" t="str">
        <f>CONCATENATE("")</f>
        <v/>
      </c>
      <c r="L5" s="5" t="str">
        <f>CONCATENATE("11 11.2 4b")</f>
        <v>11 11.2 4b</v>
      </c>
      <c r="M5" s="5" t="str">
        <f>CONCATENATE("BSCMHL87P14D488L")</f>
        <v>BSCMHL87P14D488L</v>
      </c>
      <c r="N5" s="5" t="s">
        <v>52</v>
      </c>
      <c r="O5" s="5" t="s">
        <v>50</v>
      </c>
      <c r="P5" s="6">
        <v>43927</v>
      </c>
      <c r="Q5" s="5" t="s">
        <v>31</v>
      </c>
      <c r="R5" s="5" t="s">
        <v>32</v>
      </c>
      <c r="S5" s="5" t="s">
        <v>33</v>
      </c>
      <c r="T5" s="5"/>
      <c r="U5" s="7">
        <v>4904.97</v>
      </c>
      <c r="V5" s="7">
        <v>2115.02</v>
      </c>
      <c r="W5" s="7">
        <v>1953.16</v>
      </c>
      <c r="X5" s="5">
        <v>0</v>
      </c>
      <c r="Y5" s="5">
        <v>836.79</v>
      </c>
    </row>
    <row r="6" spans="1:25" ht="24.75" x14ac:dyDescent="0.25">
      <c r="A6" s="5" t="s">
        <v>26</v>
      </c>
      <c r="B6" s="5" t="s">
        <v>34</v>
      </c>
      <c r="C6" s="5" t="s">
        <v>46</v>
      </c>
      <c r="D6" s="5" t="s">
        <v>47</v>
      </c>
      <c r="E6" s="5" t="s">
        <v>35</v>
      </c>
      <c r="F6" s="5" t="s">
        <v>48</v>
      </c>
      <c r="G6" s="5">
        <v>2019</v>
      </c>
      <c r="H6" s="5" t="str">
        <f>CONCATENATE("94240928914")</f>
        <v>94240928914</v>
      </c>
      <c r="I6" s="5" t="s">
        <v>29</v>
      </c>
      <c r="J6" s="5" t="s">
        <v>30</v>
      </c>
      <c r="K6" s="5" t="str">
        <f>CONCATENATE("")</f>
        <v/>
      </c>
      <c r="L6" s="5" t="str">
        <f>CONCATENATE("11 11.2 4b")</f>
        <v>11 11.2 4b</v>
      </c>
      <c r="M6" s="5" t="str">
        <f>CONCATENATE("RLNRSN55D67B352R")</f>
        <v>RLNRSN55D67B352R</v>
      </c>
      <c r="N6" s="5" t="s">
        <v>53</v>
      </c>
      <c r="O6" s="5" t="s">
        <v>50</v>
      </c>
      <c r="P6" s="6">
        <v>43927</v>
      </c>
      <c r="Q6" s="5" t="s">
        <v>31</v>
      </c>
      <c r="R6" s="5" t="s">
        <v>32</v>
      </c>
      <c r="S6" s="5" t="s">
        <v>33</v>
      </c>
      <c r="T6" s="5"/>
      <c r="U6" s="7">
        <v>6929.94</v>
      </c>
      <c r="V6" s="7">
        <v>2988.19</v>
      </c>
      <c r="W6" s="7">
        <v>2759.5</v>
      </c>
      <c r="X6" s="5">
        <v>0</v>
      </c>
      <c r="Y6" s="7">
        <v>1182.25</v>
      </c>
    </row>
    <row r="7" spans="1:25" ht="24.75" x14ac:dyDescent="0.25">
      <c r="A7" s="5" t="s">
        <v>26</v>
      </c>
      <c r="B7" s="5" t="s">
        <v>27</v>
      </c>
      <c r="C7" s="5" t="s">
        <v>46</v>
      </c>
      <c r="D7" s="5" t="s">
        <v>54</v>
      </c>
      <c r="E7" s="5" t="s">
        <v>28</v>
      </c>
      <c r="F7" s="5" t="s">
        <v>28</v>
      </c>
      <c r="G7" s="5">
        <v>2017</v>
      </c>
      <c r="H7" s="5" t="str">
        <f>CONCATENATE("94270173159")</f>
        <v>94270173159</v>
      </c>
      <c r="I7" s="5" t="s">
        <v>29</v>
      </c>
      <c r="J7" s="5" t="s">
        <v>30</v>
      </c>
      <c r="K7" s="5" t="str">
        <f>CONCATENATE("")</f>
        <v/>
      </c>
      <c r="L7" s="5" t="str">
        <f>CONCATENATE("4 4.4 4c")</f>
        <v>4 4.4 4c</v>
      </c>
      <c r="M7" s="5" t="str">
        <f>CONCATENATE("NRENTL48T11L597K")</f>
        <v>NRENTL48T11L597K</v>
      </c>
      <c r="N7" s="5" t="s">
        <v>55</v>
      </c>
      <c r="O7" s="5" t="s">
        <v>56</v>
      </c>
      <c r="P7" s="6">
        <v>43881</v>
      </c>
      <c r="Q7" s="5" t="s">
        <v>31</v>
      </c>
      <c r="R7" s="5" t="s">
        <v>32</v>
      </c>
      <c r="S7" s="5" t="s">
        <v>33</v>
      </c>
      <c r="T7" s="5"/>
      <c r="U7" s="7">
        <v>15352.04</v>
      </c>
      <c r="V7" s="7">
        <v>6619.8</v>
      </c>
      <c r="W7" s="7">
        <v>6113.18</v>
      </c>
      <c r="X7" s="5">
        <v>0</v>
      </c>
      <c r="Y7" s="7">
        <v>2619.06</v>
      </c>
    </row>
    <row r="8" spans="1:25" ht="24.75" x14ac:dyDescent="0.25">
      <c r="A8" s="5" t="s">
        <v>26</v>
      </c>
      <c r="B8" s="5" t="s">
        <v>27</v>
      </c>
      <c r="C8" s="5" t="s">
        <v>46</v>
      </c>
      <c r="D8" s="5" t="s">
        <v>47</v>
      </c>
      <c r="E8" s="5" t="s">
        <v>28</v>
      </c>
      <c r="F8" s="5" t="s">
        <v>28</v>
      </c>
      <c r="G8" s="5">
        <v>2017</v>
      </c>
      <c r="H8" s="5" t="str">
        <f>CONCATENATE("94270173597")</f>
        <v>94270173597</v>
      </c>
      <c r="I8" s="5" t="s">
        <v>29</v>
      </c>
      <c r="J8" s="5" t="s">
        <v>30</v>
      </c>
      <c r="K8" s="5" t="str">
        <f>CONCATENATE("")</f>
        <v/>
      </c>
      <c r="L8" s="5" t="str">
        <f>CONCATENATE("1 1.1 2a")</f>
        <v>1 1.1 2a</v>
      </c>
      <c r="M8" s="5" t="str">
        <f>CONCATENATE("02051370423")</f>
        <v>02051370423</v>
      </c>
      <c r="N8" s="5" t="s">
        <v>57</v>
      </c>
      <c r="O8" s="5" t="s">
        <v>58</v>
      </c>
      <c r="P8" s="6">
        <v>43942</v>
      </c>
      <c r="Q8" s="5" t="s">
        <v>31</v>
      </c>
      <c r="R8" s="5" t="s">
        <v>32</v>
      </c>
      <c r="S8" s="5" t="s">
        <v>33</v>
      </c>
      <c r="T8" s="5"/>
      <c r="U8" s="7">
        <v>1650</v>
      </c>
      <c r="V8" s="5">
        <v>711.48</v>
      </c>
      <c r="W8" s="5">
        <v>657.03</v>
      </c>
      <c r="X8" s="5">
        <v>0</v>
      </c>
      <c r="Y8" s="5">
        <v>281.49</v>
      </c>
    </row>
    <row r="9" spans="1:25" x14ac:dyDescent="0.25">
      <c r="A9" s="5" t="s">
        <v>26</v>
      </c>
      <c r="B9" s="5" t="s">
        <v>27</v>
      </c>
      <c r="C9" s="5" t="s">
        <v>46</v>
      </c>
      <c r="D9" s="5" t="s">
        <v>59</v>
      </c>
      <c r="E9" s="5" t="s">
        <v>37</v>
      </c>
      <c r="F9" s="5" t="s">
        <v>60</v>
      </c>
      <c r="G9" s="5">
        <v>2017</v>
      </c>
      <c r="H9" s="5" t="str">
        <f>CONCATENATE("04270033238")</f>
        <v>04270033238</v>
      </c>
      <c r="I9" s="5" t="s">
        <v>29</v>
      </c>
      <c r="J9" s="5" t="s">
        <v>30</v>
      </c>
      <c r="K9" s="5" t="str">
        <f>CONCATENATE("")</f>
        <v/>
      </c>
      <c r="L9" s="5" t="str">
        <f>CONCATENATE("16 16.8 5e")</f>
        <v>16 16.8 5e</v>
      </c>
      <c r="M9" s="5" t="str">
        <f>CONCATENATE("81001770437")</f>
        <v>81001770437</v>
      </c>
      <c r="N9" s="5" t="s">
        <v>61</v>
      </c>
      <c r="O9" s="5" t="s">
        <v>62</v>
      </c>
      <c r="P9" s="6">
        <v>43942</v>
      </c>
      <c r="Q9" s="5" t="s">
        <v>31</v>
      </c>
      <c r="R9" s="5" t="s">
        <v>42</v>
      </c>
      <c r="S9" s="5" t="s">
        <v>33</v>
      </c>
      <c r="T9" s="5"/>
      <c r="U9" s="7">
        <v>30800</v>
      </c>
      <c r="V9" s="7">
        <v>13280.96</v>
      </c>
      <c r="W9" s="7">
        <v>12264.56</v>
      </c>
      <c r="X9" s="5">
        <v>0</v>
      </c>
      <c r="Y9" s="7">
        <v>5254.48</v>
      </c>
    </row>
    <row r="10" spans="1:25" ht="24.75" x14ac:dyDescent="0.25">
      <c r="A10" s="5" t="s">
        <v>26</v>
      </c>
      <c r="B10" s="5" t="s">
        <v>34</v>
      </c>
      <c r="C10" s="5" t="s">
        <v>46</v>
      </c>
      <c r="D10" s="5" t="s">
        <v>59</v>
      </c>
      <c r="E10" s="5" t="s">
        <v>35</v>
      </c>
      <c r="F10" s="5" t="s">
        <v>63</v>
      </c>
      <c r="G10" s="5">
        <v>2018</v>
      </c>
      <c r="H10" s="5" t="str">
        <f>CONCATENATE("84211012160")</f>
        <v>84211012160</v>
      </c>
      <c r="I10" s="5" t="s">
        <v>29</v>
      </c>
      <c r="J10" s="5" t="s">
        <v>30</v>
      </c>
      <c r="K10" s="5" t="str">
        <f>CONCATENATE("")</f>
        <v/>
      </c>
      <c r="L10" s="5" t="str">
        <f>CONCATENATE("12 12.1 4a")</f>
        <v>12 12.1 4a</v>
      </c>
      <c r="M10" s="5" t="str">
        <f>CONCATENATE("01652720432")</f>
        <v>01652720432</v>
      </c>
      <c r="N10" s="5" t="s">
        <v>64</v>
      </c>
      <c r="O10" s="5" t="s">
        <v>65</v>
      </c>
      <c r="P10" s="6">
        <v>43941</v>
      </c>
      <c r="Q10" s="5" t="s">
        <v>31</v>
      </c>
      <c r="R10" s="5" t="s">
        <v>32</v>
      </c>
      <c r="S10" s="5" t="s">
        <v>33</v>
      </c>
      <c r="T10" s="5"/>
      <c r="U10" s="7">
        <v>5421.36</v>
      </c>
      <c r="V10" s="7">
        <v>2337.69</v>
      </c>
      <c r="W10" s="7">
        <v>2158.79</v>
      </c>
      <c r="X10" s="5">
        <v>0</v>
      </c>
      <c r="Y10" s="5">
        <v>924.88</v>
      </c>
    </row>
    <row r="11" spans="1:25" x14ac:dyDescent="0.25">
      <c r="A11" s="5" t="s">
        <v>26</v>
      </c>
      <c r="B11" s="5" t="s">
        <v>27</v>
      </c>
      <c r="C11" s="5" t="s">
        <v>46</v>
      </c>
      <c r="D11" s="5" t="s">
        <v>59</v>
      </c>
      <c r="E11" s="5" t="s">
        <v>66</v>
      </c>
      <c r="F11" s="5" t="s">
        <v>67</v>
      </c>
      <c r="G11" s="5">
        <v>2017</v>
      </c>
      <c r="H11" s="5" t="str">
        <f>CONCATENATE("94270173688")</f>
        <v>94270173688</v>
      </c>
      <c r="I11" s="5" t="s">
        <v>29</v>
      </c>
      <c r="J11" s="5" t="s">
        <v>30</v>
      </c>
      <c r="K11" s="5" t="str">
        <f>CONCATENATE("")</f>
        <v/>
      </c>
      <c r="L11" s="5" t="str">
        <f>CONCATENATE("8 8.5 4a")</f>
        <v>8 8.5 4a</v>
      </c>
      <c r="M11" s="5" t="str">
        <f>CONCATENATE("CSRCLD80D09E388V")</f>
        <v>CSRCLD80D09E388V</v>
      </c>
      <c r="N11" s="5" t="s">
        <v>68</v>
      </c>
      <c r="O11" s="5" t="s">
        <v>69</v>
      </c>
      <c r="P11" s="6">
        <v>43942</v>
      </c>
      <c r="Q11" s="5" t="s">
        <v>31</v>
      </c>
      <c r="R11" s="5" t="s">
        <v>38</v>
      </c>
      <c r="S11" s="5" t="s">
        <v>33</v>
      </c>
      <c r="T11" s="5"/>
      <c r="U11" s="7">
        <v>189715.25</v>
      </c>
      <c r="V11" s="7">
        <v>81805.22</v>
      </c>
      <c r="W11" s="7">
        <v>75544.61</v>
      </c>
      <c r="X11" s="5">
        <v>0</v>
      </c>
      <c r="Y11" s="7">
        <v>32365.42</v>
      </c>
    </row>
    <row r="12" spans="1:25" ht="24.75" x14ac:dyDescent="0.25">
      <c r="A12" s="5" t="s">
        <v>26</v>
      </c>
      <c r="B12" s="5" t="s">
        <v>27</v>
      </c>
      <c r="C12" s="5" t="s">
        <v>46</v>
      </c>
      <c r="D12" s="5" t="s">
        <v>70</v>
      </c>
      <c r="E12" s="5" t="s">
        <v>28</v>
      </c>
      <c r="F12" s="5" t="s">
        <v>28</v>
      </c>
      <c r="G12" s="5">
        <v>2017</v>
      </c>
      <c r="H12" s="5" t="str">
        <f>CONCATENATE("94270173795")</f>
        <v>94270173795</v>
      </c>
      <c r="I12" s="5" t="s">
        <v>29</v>
      </c>
      <c r="J12" s="5" t="s">
        <v>30</v>
      </c>
      <c r="K12" s="5" t="str">
        <f>CONCATENATE("")</f>
        <v/>
      </c>
      <c r="L12" s="5" t="str">
        <f>CONCATENATE("1 1.1 2a")</f>
        <v>1 1.1 2a</v>
      </c>
      <c r="M12" s="5" t="str">
        <f>CONCATENATE("02051370423")</f>
        <v>02051370423</v>
      </c>
      <c r="N12" s="5" t="s">
        <v>57</v>
      </c>
      <c r="O12" s="5" t="s">
        <v>71</v>
      </c>
      <c r="P12" s="6">
        <v>43942</v>
      </c>
      <c r="Q12" s="5" t="s">
        <v>31</v>
      </c>
      <c r="R12" s="5" t="s">
        <v>32</v>
      </c>
      <c r="S12" s="5" t="s">
        <v>33</v>
      </c>
      <c r="T12" s="5"/>
      <c r="U12" s="7">
        <v>1320</v>
      </c>
      <c r="V12" s="5">
        <v>569.17999999999995</v>
      </c>
      <c r="W12" s="5">
        <v>525.62</v>
      </c>
      <c r="X12" s="5">
        <v>0</v>
      </c>
      <c r="Y12" s="5">
        <v>225.2</v>
      </c>
    </row>
    <row r="13" spans="1:25" ht="24.75" x14ac:dyDescent="0.25">
      <c r="A13" s="5" t="s">
        <v>26</v>
      </c>
      <c r="B13" s="5" t="s">
        <v>27</v>
      </c>
      <c r="C13" s="5" t="s">
        <v>46</v>
      </c>
      <c r="D13" s="5" t="s">
        <v>70</v>
      </c>
      <c r="E13" s="5" t="s">
        <v>28</v>
      </c>
      <c r="F13" s="5" t="s">
        <v>28</v>
      </c>
      <c r="G13" s="5">
        <v>2017</v>
      </c>
      <c r="H13" s="5" t="str">
        <f>CONCATENATE("94270173779")</f>
        <v>94270173779</v>
      </c>
      <c r="I13" s="5" t="s">
        <v>29</v>
      </c>
      <c r="J13" s="5" t="s">
        <v>30</v>
      </c>
      <c r="K13" s="5" t="str">
        <f>CONCATENATE("")</f>
        <v/>
      </c>
      <c r="L13" s="5" t="str">
        <f>CONCATENATE("1 1.1 2a")</f>
        <v>1 1.1 2a</v>
      </c>
      <c r="M13" s="5" t="str">
        <f>CONCATENATE("02051370423")</f>
        <v>02051370423</v>
      </c>
      <c r="N13" s="5" t="s">
        <v>57</v>
      </c>
      <c r="O13" s="5" t="s">
        <v>71</v>
      </c>
      <c r="P13" s="6">
        <v>43942</v>
      </c>
      <c r="Q13" s="5" t="s">
        <v>31</v>
      </c>
      <c r="R13" s="5" t="s">
        <v>32</v>
      </c>
      <c r="S13" s="5" t="s">
        <v>33</v>
      </c>
      <c r="T13" s="5"/>
      <c r="U13" s="7">
        <v>1319.99</v>
      </c>
      <c r="V13" s="5">
        <v>569.17999999999995</v>
      </c>
      <c r="W13" s="5">
        <v>525.62</v>
      </c>
      <c r="X13" s="5">
        <v>0</v>
      </c>
      <c r="Y13" s="5">
        <v>225.19</v>
      </c>
    </row>
    <row r="14" spans="1:25" ht="24.75" x14ac:dyDescent="0.25">
      <c r="A14" s="5" t="s">
        <v>26</v>
      </c>
      <c r="B14" s="5" t="s">
        <v>27</v>
      </c>
      <c r="C14" s="5" t="s">
        <v>46</v>
      </c>
      <c r="D14" s="5" t="s">
        <v>70</v>
      </c>
      <c r="E14" s="5" t="s">
        <v>28</v>
      </c>
      <c r="F14" s="5" t="s">
        <v>28</v>
      </c>
      <c r="G14" s="5">
        <v>2017</v>
      </c>
      <c r="H14" s="5" t="str">
        <f>CONCATENATE("94270173787")</f>
        <v>94270173787</v>
      </c>
      <c r="I14" s="5" t="s">
        <v>29</v>
      </c>
      <c r="J14" s="5" t="s">
        <v>30</v>
      </c>
      <c r="K14" s="5" t="str">
        <f>CONCATENATE("")</f>
        <v/>
      </c>
      <c r="L14" s="5" t="str">
        <f>CONCATENATE("1 1.1 2a")</f>
        <v>1 1.1 2a</v>
      </c>
      <c r="M14" s="5" t="str">
        <f>CONCATENATE("02051370423")</f>
        <v>02051370423</v>
      </c>
      <c r="N14" s="5" t="s">
        <v>57</v>
      </c>
      <c r="O14" s="5" t="s">
        <v>71</v>
      </c>
      <c r="P14" s="6">
        <v>43942</v>
      </c>
      <c r="Q14" s="5" t="s">
        <v>31</v>
      </c>
      <c r="R14" s="5" t="s">
        <v>32</v>
      </c>
      <c r="S14" s="5" t="s">
        <v>33</v>
      </c>
      <c r="T14" s="5"/>
      <c r="U14" s="7">
        <v>3738.87</v>
      </c>
      <c r="V14" s="7">
        <v>1612.2</v>
      </c>
      <c r="W14" s="7">
        <v>1488.82</v>
      </c>
      <c r="X14" s="5">
        <v>0</v>
      </c>
      <c r="Y14" s="5">
        <v>637.85</v>
      </c>
    </row>
    <row r="15" spans="1:25" ht="24.75" x14ac:dyDescent="0.25">
      <c r="A15" s="5" t="s">
        <v>26</v>
      </c>
      <c r="B15" s="5" t="s">
        <v>27</v>
      </c>
      <c r="C15" s="5" t="s">
        <v>46</v>
      </c>
      <c r="D15" s="5" t="s">
        <v>70</v>
      </c>
      <c r="E15" s="5" t="s">
        <v>28</v>
      </c>
      <c r="F15" s="5" t="s">
        <v>28</v>
      </c>
      <c r="G15" s="5">
        <v>2017</v>
      </c>
      <c r="H15" s="5" t="str">
        <f>CONCATENATE("94270173811")</f>
        <v>94270173811</v>
      </c>
      <c r="I15" s="5" t="s">
        <v>29</v>
      </c>
      <c r="J15" s="5" t="s">
        <v>30</v>
      </c>
      <c r="K15" s="5" t="str">
        <f>CONCATENATE("")</f>
        <v/>
      </c>
      <c r="L15" s="5" t="str">
        <f>CONCATENATE("1 1.1 2a")</f>
        <v>1 1.1 2a</v>
      </c>
      <c r="M15" s="5" t="str">
        <f>CONCATENATE("02051370423")</f>
        <v>02051370423</v>
      </c>
      <c r="N15" s="5" t="s">
        <v>57</v>
      </c>
      <c r="O15" s="5" t="s">
        <v>71</v>
      </c>
      <c r="P15" s="6">
        <v>43942</v>
      </c>
      <c r="Q15" s="5" t="s">
        <v>31</v>
      </c>
      <c r="R15" s="5" t="s">
        <v>32</v>
      </c>
      <c r="S15" s="5" t="s">
        <v>33</v>
      </c>
      <c r="T15" s="5"/>
      <c r="U15" s="7">
        <v>3519.14</v>
      </c>
      <c r="V15" s="7">
        <v>1517.45</v>
      </c>
      <c r="W15" s="7">
        <v>1401.32</v>
      </c>
      <c r="X15" s="5">
        <v>0</v>
      </c>
      <c r="Y15" s="5">
        <v>600.37</v>
      </c>
    </row>
    <row r="16" spans="1:25" ht="24.75" x14ac:dyDescent="0.25">
      <c r="A16" s="5" t="s">
        <v>26</v>
      </c>
      <c r="B16" s="5" t="s">
        <v>27</v>
      </c>
      <c r="C16" s="5" t="s">
        <v>46</v>
      </c>
      <c r="D16" s="5" t="s">
        <v>70</v>
      </c>
      <c r="E16" s="5" t="s">
        <v>28</v>
      </c>
      <c r="F16" s="5" t="s">
        <v>28</v>
      </c>
      <c r="G16" s="5">
        <v>2017</v>
      </c>
      <c r="H16" s="5" t="str">
        <f>CONCATENATE("94270173803")</f>
        <v>94270173803</v>
      </c>
      <c r="I16" s="5" t="s">
        <v>29</v>
      </c>
      <c r="J16" s="5" t="s">
        <v>30</v>
      </c>
      <c r="K16" s="5" t="str">
        <f>CONCATENATE("")</f>
        <v/>
      </c>
      <c r="L16" s="5" t="str">
        <f>CONCATENATE("1 1.1 2a")</f>
        <v>1 1.1 2a</v>
      </c>
      <c r="M16" s="5" t="str">
        <f>CONCATENATE("02051370423")</f>
        <v>02051370423</v>
      </c>
      <c r="N16" s="5" t="s">
        <v>57</v>
      </c>
      <c r="O16" s="5" t="s">
        <v>71</v>
      </c>
      <c r="P16" s="6">
        <v>43942</v>
      </c>
      <c r="Q16" s="5" t="s">
        <v>31</v>
      </c>
      <c r="R16" s="5" t="s">
        <v>32</v>
      </c>
      <c r="S16" s="5" t="s">
        <v>33</v>
      </c>
      <c r="T16" s="5"/>
      <c r="U16" s="7">
        <v>3124.25</v>
      </c>
      <c r="V16" s="7">
        <v>1347.18</v>
      </c>
      <c r="W16" s="7">
        <v>1244.08</v>
      </c>
      <c r="X16" s="5">
        <v>0</v>
      </c>
      <c r="Y16" s="5">
        <v>532.99</v>
      </c>
    </row>
    <row r="17" spans="1:25" ht="24.75" x14ac:dyDescent="0.25">
      <c r="A17" s="5" t="s">
        <v>26</v>
      </c>
      <c r="B17" s="5" t="s">
        <v>34</v>
      </c>
      <c r="C17" s="5" t="s">
        <v>46</v>
      </c>
      <c r="D17" s="5" t="s">
        <v>59</v>
      </c>
      <c r="E17" s="5" t="s">
        <v>43</v>
      </c>
      <c r="F17" s="5" t="s">
        <v>72</v>
      </c>
      <c r="G17" s="5">
        <v>2018</v>
      </c>
      <c r="H17" s="5" t="str">
        <f>CONCATENATE("84211075647")</f>
        <v>84211075647</v>
      </c>
      <c r="I17" s="5" t="s">
        <v>29</v>
      </c>
      <c r="J17" s="5" t="s">
        <v>30</v>
      </c>
      <c r="K17" s="5" t="str">
        <f>CONCATENATE("")</f>
        <v/>
      </c>
      <c r="L17" s="5" t="str">
        <f>CONCATENATE("12 12.1 4a")</f>
        <v>12 12.1 4a</v>
      </c>
      <c r="M17" s="5" t="str">
        <f>CONCATENATE("01815530439")</f>
        <v>01815530439</v>
      </c>
      <c r="N17" s="5" t="s">
        <v>73</v>
      </c>
      <c r="O17" s="5" t="s">
        <v>65</v>
      </c>
      <c r="P17" s="6">
        <v>43941</v>
      </c>
      <c r="Q17" s="5" t="s">
        <v>31</v>
      </c>
      <c r="R17" s="5" t="s">
        <v>32</v>
      </c>
      <c r="S17" s="5" t="s">
        <v>33</v>
      </c>
      <c r="T17" s="5"/>
      <c r="U17" s="7">
        <v>1492.53</v>
      </c>
      <c r="V17" s="5">
        <v>643.58000000000004</v>
      </c>
      <c r="W17" s="5">
        <v>594.33000000000004</v>
      </c>
      <c r="X17" s="5">
        <v>0</v>
      </c>
      <c r="Y17" s="5">
        <v>254.62</v>
      </c>
    </row>
    <row r="18" spans="1:25" ht="24.75" x14ac:dyDescent="0.25">
      <c r="A18" s="5" t="s">
        <v>26</v>
      </c>
      <c r="B18" s="5" t="s">
        <v>34</v>
      </c>
      <c r="C18" s="5" t="s">
        <v>46</v>
      </c>
      <c r="D18" s="5" t="s">
        <v>54</v>
      </c>
      <c r="E18" s="5" t="s">
        <v>40</v>
      </c>
      <c r="F18" s="5" t="s">
        <v>74</v>
      </c>
      <c r="G18" s="5">
        <v>2017</v>
      </c>
      <c r="H18" s="5" t="str">
        <f>CONCATENATE("74240592480")</f>
        <v>74240592480</v>
      </c>
      <c r="I18" s="5" t="s">
        <v>29</v>
      </c>
      <c r="J18" s="5" t="s">
        <v>30</v>
      </c>
      <c r="K18" s="5" t="str">
        <f>CONCATENATE("")</f>
        <v/>
      </c>
      <c r="L18" s="5" t="str">
        <f>CONCATENATE("10 10.1 4b")</f>
        <v>10 10.1 4b</v>
      </c>
      <c r="M18" s="5" t="str">
        <f>CONCATENATE("NCCLCN81S30H769N")</f>
        <v>NCCLCN81S30H769N</v>
      </c>
      <c r="N18" s="5" t="s">
        <v>75</v>
      </c>
      <c r="O18" s="5" t="s">
        <v>76</v>
      </c>
      <c r="P18" s="6">
        <v>43941</v>
      </c>
      <c r="Q18" s="5" t="s">
        <v>31</v>
      </c>
      <c r="R18" s="5" t="s">
        <v>32</v>
      </c>
      <c r="S18" s="5" t="s">
        <v>33</v>
      </c>
      <c r="T18" s="5"/>
      <c r="U18" s="7">
        <v>7820.84</v>
      </c>
      <c r="V18" s="7">
        <v>3372.35</v>
      </c>
      <c r="W18" s="7">
        <v>3114.26</v>
      </c>
      <c r="X18" s="5">
        <v>0</v>
      </c>
      <c r="Y18" s="7">
        <v>1334.23</v>
      </c>
    </row>
    <row r="19" spans="1:25" ht="24.75" x14ac:dyDescent="0.25">
      <c r="A19" s="5" t="s">
        <v>26</v>
      </c>
      <c r="B19" s="5" t="s">
        <v>34</v>
      </c>
      <c r="C19" s="5" t="s">
        <v>46</v>
      </c>
      <c r="D19" s="5" t="s">
        <v>47</v>
      </c>
      <c r="E19" s="5" t="s">
        <v>35</v>
      </c>
      <c r="F19" s="5" t="s">
        <v>77</v>
      </c>
      <c r="G19" s="5">
        <v>2019</v>
      </c>
      <c r="H19" s="5" t="str">
        <f>CONCATENATE("94240412737")</f>
        <v>94240412737</v>
      </c>
      <c r="I19" s="5" t="s">
        <v>29</v>
      </c>
      <c r="J19" s="5" t="s">
        <v>30</v>
      </c>
      <c r="K19" s="5" t="str">
        <f>CONCATENATE("")</f>
        <v/>
      </c>
      <c r="L19" s="5" t="str">
        <f>CONCATENATE("10 10.1 4b")</f>
        <v>10 10.1 4b</v>
      </c>
      <c r="M19" s="5" t="str">
        <f>CONCATENATE("BGLVTR70H03G479Q")</f>
        <v>BGLVTR70H03G479Q</v>
      </c>
      <c r="N19" s="5" t="s">
        <v>78</v>
      </c>
      <c r="O19" s="5" t="s">
        <v>76</v>
      </c>
      <c r="P19" s="6">
        <v>43941</v>
      </c>
      <c r="Q19" s="5" t="s">
        <v>31</v>
      </c>
      <c r="R19" s="5" t="s">
        <v>32</v>
      </c>
      <c r="S19" s="5" t="s">
        <v>33</v>
      </c>
      <c r="T19" s="5"/>
      <c r="U19" s="7">
        <v>4197.55</v>
      </c>
      <c r="V19" s="7">
        <v>1809.98</v>
      </c>
      <c r="W19" s="7">
        <v>1671.46</v>
      </c>
      <c r="X19" s="5">
        <v>0</v>
      </c>
      <c r="Y19" s="5">
        <v>716.11</v>
      </c>
    </row>
    <row r="20" spans="1:25" ht="24.75" x14ac:dyDescent="0.25">
      <c r="A20" s="5" t="s">
        <v>26</v>
      </c>
      <c r="B20" s="5" t="s">
        <v>34</v>
      </c>
      <c r="C20" s="5" t="s">
        <v>46</v>
      </c>
      <c r="D20" s="5" t="s">
        <v>47</v>
      </c>
      <c r="E20" s="5" t="s">
        <v>35</v>
      </c>
      <c r="F20" s="5" t="s">
        <v>77</v>
      </c>
      <c r="G20" s="5">
        <v>2017</v>
      </c>
      <c r="H20" s="5" t="str">
        <f>CONCATENATE("74240571955")</f>
        <v>74240571955</v>
      </c>
      <c r="I20" s="5" t="s">
        <v>29</v>
      </c>
      <c r="J20" s="5" t="s">
        <v>30</v>
      </c>
      <c r="K20" s="5" t="str">
        <f>CONCATENATE("")</f>
        <v/>
      </c>
      <c r="L20" s="5" t="str">
        <f>CONCATENATE("10 10.1 4b")</f>
        <v>10 10.1 4b</v>
      </c>
      <c r="M20" s="5" t="str">
        <f>CONCATENATE("GVLCLD70H19I285J")</f>
        <v>GVLCLD70H19I285J</v>
      </c>
      <c r="N20" s="5" t="s">
        <v>79</v>
      </c>
      <c r="O20" s="5" t="s">
        <v>80</v>
      </c>
      <c r="P20" s="6">
        <v>43941</v>
      </c>
      <c r="Q20" s="5" t="s">
        <v>31</v>
      </c>
      <c r="R20" s="5" t="s">
        <v>32</v>
      </c>
      <c r="S20" s="5" t="s">
        <v>33</v>
      </c>
      <c r="T20" s="5"/>
      <c r="U20" s="7">
        <v>3204.17</v>
      </c>
      <c r="V20" s="7">
        <v>1381.64</v>
      </c>
      <c r="W20" s="7">
        <v>1275.9000000000001</v>
      </c>
      <c r="X20" s="5">
        <v>0</v>
      </c>
      <c r="Y20" s="5">
        <v>546.63</v>
      </c>
    </row>
    <row r="21" spans="1:25" ht="24.75" x14ac:dyDescent="0.25">
      <c r="A21" s="5" t="s">
        <v>26</v>
      </c>
      <c r="B21" s="5" t="s">
        <v>34</v>
      </c>
      <c r="C21" s="5" t="s">
        <v>46</v>
      </c>
      <c r="D21" s="5" t="s">
        <v>47</v>
      </c>
      <c r="E21" s="5" t="s">
        <v>35</v>
      </c>
      <c r="F21" s="5" t="s">
        <v>77</v>
      </c>
      <c r="G21" s="5">
        <v>2018</v>
      </c>
      <c r="H21" s="5" t="str">
        <f>CONCATENATE("84240824585")</f>
        <v>84240824585</v>
      </c>
      <c r="I21" s="5" t="s">
        <v>29</v>
      </c>
      <c r="J21" s="5" t="s">
        <v>30</v>
      </c>
      <c r="K21" s="5" t="str">
        <f>CONCATENATE("")</f>
        <v/>
      </c>
      <c r="L21" s="5" t="str">
        <f>CONCATENATE("10 10.1 4b")</f>
        <v>10 10.1 4b</v>
      </c>
      <c r="M21" s="5" t="str">
        <f>CONCATENATE("GVLCLD70H19I285J")</f>
        <v>GVLCLD70H19I285J</v>
      </c>
      <c r="N21" s="5" t="s">
        <v>79</v>
      </c>
      <c r="O21" s="5" t="s">
        <v>80</v>
      </c>
      <c r="P21" s="6">
        <v>43941</v>
      </c>
      <c r="Q21" s="5" t="s">
        <v>31</v>
      </c>
      <c r="R21" s="5" t="s">
        <v>32</v>
      </c>
      <c r="S21" s="5" t="s">
        <v>33</v>
      </c>
      <c r="T21" s="5"/>
      <c r="U21" s="7">
        <v>3476.05</v>
      </c>
      <c r="V21" s="7">
        <v>1498.87</v>
      </c>
      <c r="W21" s="7">
        <v>1384.16</v>
      </c>
      <c r="X21" s="5">
        <v>0</v>
      </c>
      <c r="Y21" s="5">
        <v>593.02</v>
      </c>
    </row>
    <row r="22" spans="1:25" ht="24.75" x14ac:dyDescent="0.25">
      <c r="A22" s="5" t="s">
        <v>26</v>
      </c>
      <c r="B22" s="5" t="s">
        <v>34</v>
      </c>
      <c r="C22" s="5" t="s">
        <v>46</v>
      </c>
      <c r="D22" s="5" t="s">
        <v>47</v>
      </c>
      <c r="E22" s="5" t="s">
        <v>39</v>
      </c>
      <c r="F22" s="5" t="s">
        <v>81</v>
      </c>
      <c r="G22" s="5">
        <v>2018</v>
      </c>
      <c r="H22" s="5" t="str">
        <f>CONCATENATE("84241002124")</f>
        <v>84241002124</v>
      </c>
      <c r="I22" s="5" t="s">
        <v>29</v>
      </c>
      <c r="J22" s="5" t="s">
        <v>30</v>
      </c>
      <c r="K22" s="5" t="str">
        <f>CONCATENATE("")</f>
        <v/>
      </c>
      <c r="L22" s="5" t="str">
        <f>CONCATENATE("10 10.1 4b")</f>
        <v>10 10.1 4b</v>
      </c>
      <c r="M22" s="5" t="str">
        <f>CONCATENATE("02486570415")</f>
        <v>02486570415</v>
      </c>
      <c r="N22" s="5" t="s">
        <v>82</v>
      </c>
      <c r="O22" s="5" t="s">
        <v>80</v>
      </c>
      <c r="P22" s="6">
        <v>43941</v>
      </c>
      <c r="Q22" s="5" t="s">
        <v>31</v>
      </c>
      <c r="R22" s="5" t="s">
        <v>32</v>
      </c>
      <c r="S22" s="5" t="s">
        <v>33</v>
      </c>
      <c r="T22" s="5"/>
      <c r="U22" s="7">
        <v>4884.72</v>
      </c>
      <c r="V22" s="7">
        <v>2106.29</v>
      </c>
      <c r="W22" s="7">
        <v>1945.1</v>
      </c>
      <c r="X22" s="5">
        <v>0</v>
      </c>
      <c r="Y22" s="5">
        <v>833.33</v>
      </c>
    </row>
    <row r="23" spans="1:25" ht="24.75" x14ac:dyDescent="0.25">
      <c r="A23" s="5" t="s">
        <v>26</v>
      </c>
      <c r="B23" s="5" t="s">
        <v>34</v>
      </c>
      <c r="C23" s="5" t="s">
        <v>46</v>
      </c>
      <c r="D23" s="5" t="s">
        <v>47</v>
      </c>
      <c r="E23" s="5" t="s">
        <v>39</v>
      </c>
      <c r="F23" s="5" t="s">
        <v>81</v>
      </c>
      <c r="G23" s="5">
        <v>2017</v>
      </c>
      <c r="H23" s="5" t="str">
        <f>CONCATENATE("74240896501")</f>
        <v>74240896501</v>
      </c>
      <c r="I23" s="5" t="s">
        <v>29</v>
      </c>
      <c r="J23" s="5" t="s">
        <v>30</v>
      </c>
      <c r="K23" s="5" t="str">
        <f>CONCATENATE("")</f>
        <v/>
      </c>
      <c r="L23" s="5" t="str">
        <f>CONCATENATE("10 10.1 4b")</f>
        <v>10 10.1 4b</v>
      </c>
      <c r="M23" s="5" t="str">
        <f>CONCATENATE("BRTFBA62L13I285V")</f>
        <v>BRTFBA62L13I285V</v>
      </c>
      <c r="N23" s="5" t="s">
        <v>83</v>
      </c>
      <c r="O23" s="5" t="s">
        <v>80</v>
      </c>
      <c r="P23" s="6">
        <v>43941</v>
      </c>
      <c r="Q23" s="5" t="s">
        <v>31</v>
      </c>
      <c r="R23" s="5" t="s">
        <v>32</v>
      </c>
      <c r="S23" s="5" t="s">
        <v>33</v>
      </c>
      <c r="T23" s="5"/>
      <c r="U23" s="7">
        <v>7540.82</v>
      </c>
      <c r="V23" s="7">
        <v>3251.6</v>
      </c>
      <c r="W23" s="7">
        <v>3002.75</v>
      </c>
      <c r="X23" s="5">
        <v>0</v>
      </c>
      <c r="Y23" s="7">
        <v>1286.47</v>
      </c>
    </row>
    <row r="24" spans="1:25" ht="24.75" x14ac:dyDescent="0.25">
      <c r="A24" s="5" t="s">
        <v>26</v>
      </c>
      <c r="B24" s="5" t="s">
        <v>34</v>
      </c>
      <c r="C24" s="5" t="s">
        <v>46</v>
      </c>
      <c r="D24" s="5" t="s">
        <v>47</v>
      </c>
      <c r="E24" s="5" t="s">
        <v>39</v>
      </c>
      <c r="F24" s="5" t="s">
        <v>81</v>
      </c>
      <c r="G24" s="5">
        <v>2018</v>
      </c>
      <c r="H24" s="5" t="str">
        <f>CONCATENATE("84240996995")</f>
        <v>84240996995</v>
      </c>
      <c r="I24" s="5" t="s">
        <v>29</v>
      </c>
      <c r="J24" s="5" t="s">
        <v>30</v>
      </c>
      <c r="K24" s="5" t="str">
        <f>CONCATENATE("")</f>
        <v/>
      </c>
      <c r="L24" s="5" t="str">
        <f>CONCATENATE("10 10.1 4b")</f>
        <v>10 10.1 4b</v>
      </c>
      <c r="M24" s="5" t="str">
        <f>CONCATENATE("GMBPLA67E11G479R")</f>
        <v>GMBPLA67E11G479R</v>
      </c>
      <c r="N24" s="5" t="s">
        <v>84</v>
      </c>
      <c r="O24" s="5" t="s">
        <v>80</v>
      </c>
      <c r="P24" s="6">
        <v>43941</v>
      </c>
      <c r="Q24" s="5" t="s">
        <v>31</v>
      </c>
      <c r="R24" s="5" t="s">
        <v>32</v>
      </c>
      <c r="S24" s="5" t="s">
        <v>33</v>
      </c>
      <c r="T24" s="5"/>
      <c r="U24" s="5">
        <v>561.55999999999995</v>
      </c>
      <c r="V24" s="5">
        <v>242.14</v>
      </c>
      <c r="W24" s="5">
        <v>223.61</v>
      </c>
      <c r="X24" s="5">
        <v>0</v>
      </c>
      <c r="Y24" s="5">
        <v>95.81</v>
      </c>
    </row>
    <row r="25" spans="1:25" ht="24.75" x14ac:dyDescent="0.25">
      <c r="A25" s="5" t="s">
        <v>26</v>
      </c>
      <c r="B25" s="5" t="s">
        <v>34</v>
      </c>
      <c r="C25" s="5" t="s">
        <v>46</v>
      </c>
      <c r="D25" s="5" t="s">
        <v>47</v>
      </c>
      <c r="E25" s="5" t="s">
        <v>39</v>
      </c>
      <c r="F25" s="5" t="s">
        <v>81</v>
      </c>
      <c r="G25" s="5">
        <v>2017</v>
      </c>
      <c r="H25" s="5" t="str">
        <f>CONCATENATE("74240846548")</f>
        <v>74240846548</v>
      </c>
      <c r="I25" s="5" t="s">
        <v>29</v>
      </c>
      <c r="J25" s="5" t="s">
        <v>30</v>
      </c>
      <c r="K25" s="5" t="str">
        <f>CONCATENATE("")</f>
        <v/>
      </c>
      <c r="L25" s="5" t="str">
        <f>CONCATENATE("10 10.1 4b")</f>
        <v>10 10.1 4b</v>
      </c>
      <c r="M25" s="5" t="str">
        <f>CONCATENATE("02486570415")</f>
        <v>02486570415</v>
      </c>
      <c r="N25" s="5" t="s">
        <v>82</v>
      </c>
      <c r="O25" s="5" t="s">
        <v>80</v>
      </c>
      <c r="P25" s="6">
        <v>43941</v>
      </c>
      <c r="Q25" s="5" t="s">
        <v>31</v>
      </c>
      <c r="R25" s="5" t="s">
        <v>32</v>
      </c>
      <c r="S25" s="5" t="s">
        <v>33</v>
      </c>
      <c r="T25" s="5"/>
      <c r="U25" s="7">
        <v>4828.9399999999996</v>
      </c>
      <c r="V25" s="7">
        <v>2082.2399999999998</v>
      </c>
      <c r="W25" s="7">
        <v>1922.88</v>
      </c>
      <c r="X25" s="5">
        <v>0</v>
      </c>
      <c r="Y25" s="5">
        <v>823.82</v>
      </c>
    </row>
    <row r="26" spans="1:25" ht="24.75" x14ac:dyDescent="0.25">
      <c r="A26" s="5" t="s">
        <v>26</v>
      </c>
      <c r="B26" s="5" t="s">
        <v>27</v>
      </c>
      <c r="C26" s="5" t="s">
        <v>46</v>
      </c>
      <c r="D26" s="5" t="s">
        <v>70</v>
      </c>
      <c r="E26" s="5" t="s">
        <v>28</v>
      </c>
      <c r="F26" s="5" t="s">
        <v>28</v>
      </c>
      <c r="G26" s="5">
        <v>2017</v>
      </c>
      <c r="H26" s="5" t="str">
        <f>CONCATENATE("94270173860")</f>
        <v>94270173860</v>
      </c>
      <c r="I26" s="5" t="s">
        <v>29</v>
      </c>
      <c r="J26" s="5" t="s">
        <v>30</v>
      </c>
      <c r="K26" s="5" t="str">
        <f>CONCATENATE("")</f>
        <v/>
      </c>
      <c r="L26" s="5" t="str">
        <f>CONCATENATE("3 3.1 3a")</f>
        <v>3 3.1 3a</v>
      </c>
      <c r="M26" s="5" t="str">
        <f>CONCATENATE("02464490420")</f>
        <v>02464490420</v>
      </c>
      <c r="N26" s="5" t="s">
        <v>85</v>
      </c>
      <c r="O26" s="5" t="s">
        <v>86</v>
      </c>
      <c r="P26" s="6">
        <v>43941</v>
      </c>
      <c r="Q26" s="5" t="s">
        <v>31</v>
      </c>
      <c r="R26" s="5" t="s">
        <v>38</v>
      </c>
      <c r="S26" s="5" t="s">
        <v>33</v>
      </c>
      <c r="T26" s="5"/>
      <c r="U26" s="7">
        <v>2690.97</v>
      </c>
      <c r="V26" s="7">
        <v>1160.3499999999999</v>
      </c>
      <c r="W26" s="7">
        <v>1071.54</v>
      </c>
      <c r="X26" s="5">
        <v>0</v>
      </c>
      <c r="Y26" s="5">
        <v>459.08</v>
      </c>
    </row>
    <row r="27" spans="1:25" ht="24.75" x14ac:dyDescent="0.25">
      <c r="A27" s="5" t="s">
        <v>26</v>
      </c>
      <c r="B27" s="5" t="s">
        <v>27</v>
      </c>
      <c r="C27" s="5" t="s">
        <v>46</v>
      </c>
      <c r="D27" s="5" t="s">
        <v>54</v>
      </c>
      <c r="E27" s="5" t="s">
        <v>28</v>
      </c>
      <c r="F27" s="5" t="s">
        <v>28</v>
      </c>
      <c r="G27" s="5">
        <v>2017</v>
      </c>
      <c r="H27" s="5" t="str">
        <f>CONCATENATE("94270173753")</f>
        <v>94270173753</v>
      </c>
      <c r="I27" s="5" t="s">
        <v>29</v>
      </c>
      <c r="J27" s="5" t="s">
        <v>30</v>
      </c>
      <c r="K27" s="5" t="str">
        <f>CONCATENATE("")</f>
        <v/>
      </c>
      <c r="L27" s="5" t="str">
        <f>CONCATENATE("1 1.1 2a")</f>
        <v>1 1.1 2a</v>
      </c>
      <c r="M27" s="5" t="str">
        <f>CONCATENATE("02051370423")</f>
        <v>02051370423</v>
      </c>
      <c r="N27" s="5" t="s">
        <v>57</v>
      </c>
      <c r="O27" s="5" t="s">
        <v>87</v>
      </c>
      <c r="P27" s="6">
        <v>43942</v>
      </c>
      <c r="Q27" s="5" t="s">
        <v>31</v>
      </c>
      <c r="R27" s="5" t="s">
        <v>32</v>
      </c>
      <c r="S27" s="5" t="s">
        <v>33</v>
      </c>
      <c r="T27" s="5"/>
      <c r="U27" s="7">
        <v>1377</v>
      </c>
      <c r="V27" s="5">
        <v>593.76</v>
      </c>
      <c r="W27" s="5">
        <v>548.32000000000005</v>
      </c>
      <c r="X27" s="5">
        <v>0</v>
      </c>
      <c r="Y27" s="5">
        <v>234.92</v>
      </c>
    </row>
    <row r="28" spans="1:25" ht="24.75" x14ac:dyDescent="0.25">
      <c r="A28" s="5" t="s">
        <v>26</v>
      </c>
      <c r="B28" s="5" t="s">
        <v>34</v>
      </c>
      <c r="C28" s="5" t="s">
        <v>46</v>
      </c>
      <c r="D28" s="5" t="s">
        <v>47</v>
      </c>
      <c r="E28" s="5" t="s">
        <v>35</v>
      </c>
      <c r="F28" s="5" t="s">
        <v>77</v>
      </c>
      <c r="G28" s="5">
        <v>2016</v>
      </c>
      <c r="H28" s="5" t="str">
        <f>CONCATENATE("64240748406")</f>
        <v>64240748406</v>
      </c>
      <c r="I28" s="5" t="s">
        <v>29</v>
      </c>
      <c r="J28" s="5" t="s">
        <v>30</v>
      </c>
      <c r="K28" s="5" t="str">
        <f>CONCATENATE("")</f>
        <v/>
      </c>
      <c r="L28" s="5" t="str">
        <f>CONCATENATE("10 10.1 4b")</f>
        <v>10 10.1 4b</v>
      </c>
      <c r="M28" s="5" t="str">
        <f>CONCATENATE("BGLVTR70H03G479Q")</f>
        <v>BGLVTR70H03G479Q</v>
      </c>
      <c r="N28" s="5" t="s">
        <v>78</v>
      </c>
      <c r="O28" s="5" t="s">
        <v>88</v>
      </c>
      <c r="P28" s="6">
        <v>43941</v>
      </c>
      <c r="Q28" s="5" t="s">
        <v>31</v>
      </c>
      <c r="R28" s="5" t="s">
        <v>32</v>
      </c>
      <c r="S28" s="5" t="s">
        <v>33</v>
      </c>
      <c r="T28" s="5"/>
      <c r="U28" s="7">
        <v>2972.1</v>
      </c>
      <c r="V28" s="7">
        <v>1281.57</v>
      </c>
      <c r="W28" s="7">
        <v>1183.49</v>
      </c>
      <c r="X28" s="5">
        <v>0</v>
      </c>
      <c r="Y28" s="5">
        <v>507.04</v>
      </c>
    </row>
    <row r="29" spans="1:25" ht="24.75" x14ac:dyDescent="0.25">
      <c r="A29" s="5" t="s">
        <v>26</v>
      </c>
      <c r="B29" s="5" t="s">
        <v>34</v>
      </c>
      <c r="C29" s="5" t="s">
        <v>46</v>
      </c>
      <c r="D29" s="5" t="s">
        <v>54</v>
      </c>
      <c r="E29" s="5" t="s">
        <v>28</v>
      </c>
      <c r="F29" s="5" t="s">
        <v>28</v>
      </c>
      <c r="G29" s="5">
        <v>2017</v>
      </c>
      <c r="H29" s="5" t="str">
        <f>CONCATENATE("74240693213")</f>
        <v>74240693213</v>
      </c>
      <c r="I29" s="5" t="s">
        <v>29</v>
      </c>
      <c r="J29" s="5" t="s">
        <v>30</v>
      </c>
      <c r="K29" s="5" t="str">
        <f>CONCATENATE("")</f>
        <v/>
      </c>
      <c r="L29" s="5" t="str">
        <f>CONCATENATE("10 10.1 4b")</f>
        <v>10 10.1 4b</v>
      </c>
      <c r="M29" s="5" t="str">
        <f>CONCATENATE("PGNDMA36P15H321S")</f>
        <v>PGNDMA36P15H321S</v>
      </c>
      <c r="N29" s="5" t="s">
        <v>89</v>
      </c>
      <c r="O29" s="5" t="s">
        <v>88</v>
      </c>
      <c r="P29" s="6">
        <v>43941</v>
      </c>
      <c r="Q29" s="5" t="s">
        <v>31</v>
      </c>
      <c r="R29" s="5" t="s">
        <v>32</v>
      </c>
      <c r="S29" s="5" t="s">
        <v>33</v>
      </c>
      <c r="T29" s="5"/>
      <c r="U29" s="7">
        <v>5560.53</v>
      </c>
      <c r="V29" s="7">
        <v>2397.6999999999998</v>
      </c>
      <c r="W29" s="7">
        <v>2214.1999999999998</v>
      </c>
      <c r="X29" s="5">
        <v>0</v>
      </c>
      <c r="Y29" s="5">
        <v>948.63</v>
      </c>
    </row>
    <row r="30" spans="1:25" ht="24.75" x14ac:dyDescent="0.25">
      <c r="A30" s="5" t="s">
        <v>26</v>
      </c>
      <c r="B30" s="5" t="s">
        <v>34</v>
      </c>
      <c r="C30" s="5" t="s">
        <v>46</v>
      </c>
      <c r="D30" s="5" t="s">
        <v>54</v>
      </c>
      <c r="E30" s="5" t="s">
        <v>28</v>
      </c>
      <c r="F30" s="5" t="s">
        <v>28</v>
      </c>
      <c r="G30" s="5">
        <v>2018</v>
      </c>
      <c r="H30" s="5" t="str">
        <f>CONCATENATE("84240965511")</f>
        <v>84240965511</v>
      </c>
      <c r="I30" s="5" t="s">
        <v>29</v>
      </c>
      <c r="J30" s="5" t="s">
        <v>30</v>
      </c>
      <c r="K30" s="5" t="str">
        <f>CONCATENATE("")</f>
        <v/>
      </c>
      <c r="L30" s="5" t="str">
        <f>CONCATENATE("10 10.1 4b")</f>
        <v>10 10.1 4b</v>
      </c>
      <c r="M30" s="5" t="str">
        <f>CONCATENATE("01230310441")</f>
        <v>01230310441</v>
      </c>
      <c r="N30" s="5" t="s">
        <v>90</v>
      </c>
      <c r="O30" s="5" t="s">
        <v>88</v>
      </c>
      <c r="P30" s="6">
        <v>43941</v>
      </c>
      <c r="Q30" s="5" t="s">
        <v>31</v>
      </c>
      <c r="R30" s="5" t="s">
        <v>32</v>
      </c>
      <c r="S30" s="5" t="s">
        <v>33</v>
      </c>
      <c r="T30" s="5"/>
      <c r="U30" s="5">
        <v>48.22</v>
      </c>
      <c r="V30" s="5">
        <v>20.79</v>
      </c>
      <c r="W30" s="5">
        <v>19.2</v>
      </c>
      <c r="X30" s="5">
        <v>0</v>
      </c>
      <c r="Y30" s="5">
        <v>8.23</v>
      </c>
    </row>
    <row r="31" spans="1:25" ht="24.75" x14ac:dyDescent="0.25">
      <c r="A31" s="5" t="s">
        <v>26</v>
      </c>
      <c r="B31" s="5" t="s">
        <v>34</v>
      </c>
      <c r="C31" s="5" t="s">
        <v>46</v>
      </c>
      <c r="D31" s="5" t="s">
        <v>47</v>
      </c>
      <c r="E31" s="5" t="s">
        <v>39</v>
      </c>
      <c r="F31" s="5" t="s">
        <v>81</v>
      </c>
      <c r="G31" s="5">
        <v>2016</v>
      </c>
      <c r="H31" s="5" t="str">
        <f>CONCATENATE("64240749453")</f>
        <v>64240749453</v>
      </c>
      <c r="I31" s="5" t="s">
        <v>29</v>
      </c>
      <c r="J31" s="5" t="s">
        <v>30</v>
      </c>
      <c r="K31" s="5" t="str">
        <f>CONCATENATE("")</f>
        <v/>
      </c>
      <c r="L31" s="5" t="str">
        <f>CONCATENATE("10 10.1 4b")</f>
        <v>10 10.1 4b</v>
      </c>
      <c r="M31" s="5" t="str">
        <f>CONCATENATE("02486570415")</f>
        <v>02486570415</v>
      </c>
      <c r="N31" s="5" t="s">
        <v>82</v>
      </c>
      <c r="O31" s="5" t="s">
        <v>88</v>
      </c>
      <c r="P31" s="6">
        <v>43941</v>
      </c>
      <c r="Q31" s="5" t="s">
        <v>31</v>
      </c>
      <c r="R31" s="5" t="s">
        <v>32</v>
      </c>
      <c r="S31" s="5" t="s">
        <v>33</v>
      </c>
      <c r="T31" s="5"/>
      <c r="U31" s="5">
        <v>588.9</v>
      </c>
      <c r="V31" s="5">
        <v>253.93</v>
      </c>
      <c r="W31" s="5">
        <v>234.5</v>
      </c>
      <c r="X31" s="5">
        <v>0</v>
      </c>
      <c r="Y31" s="5">
        <v>100.47</v>
      </c>
    </row>
    <row r="32" spans="1:25" ht="24.75" x14ac:dyDescent="0.25">
      <c r="A32" s="5" t="s">
        <v>26</v>
      </c>
      <c r="B32" s="5" t="s">
        <v>34</v>
      </c>
      <c r="C32" s="5" t="s">
        <v>46</v>
      </c>
      <c r="D32" s="5" t="s">
        <v>47</v>
      </c>
      <c r="E32" s="5" t="s">
        <v>35</v>
      </c>
      <c r="F32" s="5" t="s">
        <v>77</v>
      </c>
      <c r="G32" s="5">
        <v>2016</v>
      </c>
      <c r="H32" s="5" t="str">
        <f>CONCATENATE("64240745576")</f>
        <v>64240745576</v>
      </c>
      <c r="I32" s="5" t="s">
        <v>29</v>
      </c>
      <c r="J32" s="5" t="s">
        <v>30</v>
      </c>
      <c r="K32" s="5" t="str">
        <f>CONCATENATE("")</f>
        <v/>
      </c>
      <c r="L32" s="5" t="str">
        <f>CONCATENATE("10 10.1 4b")</f>
        <v>10 10.1 4b</v>
      </c>
      <c r="M32" s="5" t="str">
        <f>CONCATENATE("GVLCLD70H19I285J")</f>
        <v>GVLCLD70H19I285J</v>
      </c>
      <c r="N32" s="5" t="s">
        <v>79</v>
      </c>
      <c r="O32" s="5" t="s">
        <v>88</v>
      </c>
      <c r="P32" s="6">
        <v>43941</v>
      </c>
      <c r="Q32" s="5" t="s">
        <v>31</v>
      </c>
      <c r="R32" s="5" t="s">
        <v>32</v>
      </c>
      <c r="S32" s="5" t="s">
        <v>33</v>
      </c>
      <c r="T32" s="5"/>
      <c r="U32" s="7">
        <v>2810.88</v>
      </c>
      <c r="V32" s="7">
        <v>1212.05</v>
      </c>
      <c r="W32" s="7">
        <v>1119.29</v>
      </c>
      <c r="X32" s="5">
        <v>0</v>
      </c>
      <c r="Y32" s="5">
        <v>479.54</v>
      </c>
    </row>
    <row r="33" spans="1:25" ht="24.75" x14ac:dyDescent="0.25">
      <c r="A33" s="5" t="s">
        <v>26</v>
      </c>
      <c r="B33" s="5" t="s">
        <v>34</v>
      </c>
      <c r="C33" s="5" t="s">
        <v>46</v>
      </c>
      <c r="D33" s="5" t="s">
        <v>54</v>
      </c>
      <c r="E33" s="5" t="s">
        <v>28</v>
      </c>
      <c r="F33" s="5" t="s">
        <v>28</v>
      </c>
      <c r="G33" s="5">
        <v>2018</v>
      </c>
      <c r="H33" s="5" t="str">
        <f>CONCATENATE("84240963862")</f>
        <v>84240963862</v>
      </c>
      <c r="I33" s="5" t="s">
        <v>29</v>
      </c>
      <c r="J33" s="5" t="s">
        <v>30</v>
      </c>
      <c r="K33" s="5" t="str">
        <f>CONCATENATE("")</f>
        <v/>
      </c>
      <c r="L33" s="5" t="str">
        <f>CONCATENATE("10 10.1 4b")</f>
        <v>10 10.1 4b</v>
      </c>
      <c r="M33" s="5" t="str">
        <f>CONCATENATE("PGNDMA36P15H321S")</f>
        <v>PGNDMA36P15H321S</v>
      </c>
      <c r="N33" s="5" t="s">
        <v>89</v>
      </c>
      <c r="O33" s="5" t="s">
        <v>88</v>
      </c>
      <c r="P33" s="6">
        <v>43941</v>
      </c>
      <c r="Q33" s="5" t="s">
        <v>31</v>
      </c>
      <c r="R33" s="5" t="s">
        <v>32</v>
      </c>
      <c r="S33" s="5" t="s">
        <v>33</v>
      </c>
      <c r="T33" s="5"/>
      <c r="U33" s="7">
        <v>5417.52</v>
      </c>
      <c r="V33" s="7">
        <v>2336.0300000000002</v>
      </c>
      <c r="W33" s="7">
        <v>2157.2600000000002</v>
      </c>
      <c r="X33" s="5">
        <v>0</v>
      </c>
      <c r="Y33" s="5">
        <v>924.23</v>
      </c>
    </row>
    <row r="34" spans="1:25" x14ac:dyDescent="0.25">
      <c r="A34" s="5" t="s">
        <v>26</v>
      </c>
      <c r="B34" s="5" t="s">
        <v>27</v>
      </c>
      <c r="C34" s="5" t="s">
        <v>46</v>
      </c>
      <c r="D34" s="5" t="s">
        <v>46</v>
      </c>
      <c r="E34" s="5" t="s">
        <v>28</v>
      </c>
      <c r="F34" s="5" t="s">
        <v>28</v>
      </c>
      <c r="G34" s="5">
        <v>2017</v>
      </c>
      <c r="H34" s="5" t="str">
        <f>CONCATENATE("04270033717")</f>
        <v>04270033717</v>
      </c>
      <c r="I34" s="5" t="s">
        <v>29</v>
      </c>
      <c r="J34" s="5" t="s">
        <v>30</v>
      </c>
      <c r="K34" s="5" t="str">
        <f>CONCATENATE("")</f>
        <v/>
      </c>
      <c r="L34" s="5" t="str">
        <f>CONCATENATE("19 19.2 6b")</f>
        <v>19 19.2 6b</v>
      </c>
      <c r="M34" s="5" t="str">
        <f>CONCATENATE("CRSMSM79H06H769X")</f>
        <v>CRSMSM79H06H769X</v>
      </c>
      <c r="N34" s="5" t="s">
        <v>91</v>
      </c>
      <c r="O34" s="5" t="s">
        <v>92</v>
      </c>
      <c r="P34" s="6">
        <v>43942</v>
      </c>
      <c r="Q34" s="5" t="s">
        <v>31</v>
      </c>
      <c r="R34" s="5" t="s">
        <v>42</v>
      </c>
      <c r="S34" s="5" t="s">
        <v>33</v>
      </c>
      <c r="T34" s="5"/>
      <c r="U34" s="7">
        <v>57373.95</v>
      </c>
      <c r="V34" s="7">
        <v>24739.65</v>
      </c>
      <c r="W34" s="7">
        <v>22846.31</v>
      </c>
      <c r="X34" s="5">
        <v>0</v>
      </c>
      <c r="Y34" s="7">
        <v>9787.99</v>
      </c>
    </row>
    <row r="35" spans="1:25" x14ac:dyDescent="0.25">
      <c r="A35" s="5" t="s">
        <v>26</v>
      </c>
      <c r="B35" s="5" t="s">
        <v>27</v>
      </c>
      <c r="C35" s="5" t="s">
        <v>46</v>
      </c>
      <c r="D35" s="5" t="s">
        <v>46</v>
      </c>
      <c r="E35" s="5" t="s">
        <v>28</v>
      </c>
      <c r="F35" s="5" t="s">
        <v>28</v>
      </c>
      <c r="G35" s="5">
        <v>2017</v>
      </c>
      <c r="H35" s="5" t="str">
        <f>CONCATENATE("04270033709")</f>
        <v>04270033709</v>
      </c>
      <c r="I35" s="5" t="s">
        <v>29</v>
      </c>
      <c r="J35" s="5" t="s">
        <v>30</v>
      </c>
      <c r="K35" s="5" t="str">
        <f>CONCATENATE("")</f>
        <v/>
      </c>
      <c r="L35" s="5" t="str">
        <f>CONCATENATE("19 19.2 6b")</f>
        <v>19 19.2 6b</v>
      </c>
      <c r="M35" s="5" t="str">
        <f>CONCATENATE("02207470440")</f>
        <v>02207470440</v>
      </c>
      <c r="N35" s="5" t="s">
        <v>93</v>
      </c>
      <c r="O35" s="5" t="s">
        <v>92</v>
      </c>
      <c r="P35" s="6">
        <v>43942</v>
      </c>
      <c r="Q35" s="5" t="s">
        <v>31</v>
      </c>
      <c r="R35" s="5" t="s">
        <v>42</v>
      </c>
      <c r="S35" s="5" t="s">
        <v>33</v>
      </c>
      <c r="T35" s="5"/>
      <c r="U35" s="7">
        <v>44000</v>
      </c>
      <c r="V35" s="7">
        <v>18972.8</v>
      </c>
      <c r="W35" s="7">
        <v>17520.8</v>
      </c>
      <c r="X35" s="5">
        <v>0</v>
      </c>
      <c r="Y35" s="7">
        <v>7506.4</v>
      </c>
    </row>
    <row r="36" spans="1:25" x14ac:dyDescent="0.25">
      <c r="A36" s="5" t="s">
        <v>26</v>
      </c>
      <c r="B36" s="5" t="s">
        <v>27</v>
      </c>
      <c r="C36" s="5" t="s">
        <v>46</v>
      </c>
      <c r="D36" s="5" t="s">
        <v>59</v>
      </c>
      <c r="E36" s="5" t="s">
        <v>28</v>
      </c>
      <c r="F36" s="5" t="s">
        <v>28</v>
      </c>
      <c r="G36" s="5">
        <v>2017</v>
      </c>
      <c r="H36" s="5" t="str">
        <f>CONCATENATE("94270173837")</f>
        <v>94270173837</v>
      </c>
      <c r="I36" s="5" t="s">
        <v>29</v>
      </c>
      <c r="J36" s="5" t="s">
        <v>30</v>
      </c>
      <c r="K36" s="5" t="str">
        <f>CONCATENATE("")</f>
        <v/>
      </c>
      <c r="L36" s="5" t="str">
        <f>CONCATENATE("4 4.1 2a")</f>
        <v>4 4.1 2a</v>
      </c>
      <c r="M36" s="5" t="str">
        <f>CONCATENATE("SNTFNC78R54D653N")</f>
        <v>SNTFNC78R54D653N</v>
      </c>
      <c r="N36" s="5" t="s">
        <v>94</v>
      </c>
      <c r="O36" s="5" t="s">
        <v>95</v>
      </c>
      <c r="P36" s="6">
        <v>43941</v>
      </c>
      <c r="Q36" s="5" t="s">
        <v>31</v>
      </c>
      <c r="R36" s="5" t="s">
        <v>32</v>
      </c>
      <c r="S36" s="5" t="s">
        <v>33</v>
      </c>
      <c r="T36" s="5"/>
      <c r="U36" s="7">
        <v>121965.7</v>
      </c>
      <c r="V36" s="7">
        <v>52591.61</v>
      </c>
      <c r="W36" s="7">
        <v>48566.74</v>
      </c>
      <c r="X36" s="5">
        <v>0</v>
      </c>
      <c r="Y36" s="7">
        <v>20807.349999999999</v>
      </c>
    </row>
    <row r="37" spans="1:25" x14ac:dyDescent="0.25">
      <c r="A37" s="5" t="s">
        <v>26</v>
      </c>
      <c r="B37" s="5" t="s">
        <v>34</v>
      </c>
      <c r="C37" s="5" t="s">
        <v>46</v>
      </c>
      <c r="D37" s="5" t="s">
        <v>59</v>
      </c>
      <c r="E37" s="5" t="s">
        <v>35</v>
      </c>
      <c r="F37" s="5" t="s">
        <v>96</v>
      </c>
      <c r="G37" s="5">
        <v>2019</v>
      </c>
      <c r="H37" s="5" t="str">
        <f>CONCATENATE("94241093106")</f>
        <v>94241093106</v>
      </c>
      <c r="I37" s="5" t="s">
        <v>29</v>
      </c>
      <c r="J37" s="5" t="s">
        <v>30</v>
      </c>
      <c r="K37" s="5" t="str">
        <f>CONCATENATE("")</f>
        <v/>
      </c>
      <c r="L37" s="5" t="str">
        <f>CONCATENATE("14 14.1 3a")</f>
        <v>14 14.1 3a</v>
      </c>
      <c r="M37" s="5" t="str">
        <f>CONCATENATE("MCZGTT75T01D542N")</f>
        <v>MCZGTT75T01D542N</v>
      </c>
      <c r="N37" s="5" t="s">
        <v>97</v>
      </c>
      <c r="O37" s="5" t="s">
        <v>98</v>
      </c>
      <c r="P37" s="6">
        <v>43941</v>
      </c>
      <c r="Q37" s="5" t="s">
        <v>31</v>
      </c>
      <c r="R37" s="5" t="s">
        <v>32</v>
      </c>
      <c r="S37" s="5" t="s">
        <v>33</v>
      </c>
      <c r="T37" s="5"/>
      <c r="U37" s="7">
        <v>5229.8</v>
      </c>
      <c r="V37" s="7">
        <v>2255.09</v>
      </c>
      <c r="W37" s="7">
        <v>2082.5100000000002</v>
      </c>
      <c r="X37" s="5">
        <v>0</v>
      </c>
      <c r="Y37" s="5">
        <v>892.2</v>
      </c>
    </row>
    <row r="38" spans="1:25" x14ac:dyDescent="0.25">
      <c r="A38" s="5" t="s">
        <v>26</v>
      </c>
      <c r="B38" s="5" t="s">
        <v>34</v>
      </c>
      <c r="C38" s="5" t="s">
        <v>46</v>
      </c>
      <c r="D38" s="5" t="s">
        <v>59</v>
      </c>
      <c r="E38" s="5" t="s">
        <v>37</v>
      </c>
      <c r="F38" s="5" t="s">
        <v>99</v>
      </c>
      <c r="G38" s="5">
        <v>2019</v>
      </c>
      <c r="H38" s="5" t="str">
        <f>CONCATENATE("94240369325")</f>
        <v>94240369325</v>
      </c>
      <c r="I38" s="5" t="s">
        <v>29</v>
      </c>
      <c r="J38" s="5" t="s">
        <v>30</v>
      </c>
      <c r="K38" s="5" t="str">
        <f>CONCATENATE("")</f>
        <v/>
      </c>
      <c r="L38" s="5" t="str">
        <f>CONCATENATE("14 14.1 3a")</f>
        <v>14 14.1 3a</v>
      </c>
      <c r="M38" s="5" t="str">
        <f>CONCATENATE("01345240434")</f>
        <v>01345240434</v>
      </c>
      <c r="N38" s="5" t="s">
        <v>100</v>
      </c>
      <c r="O38" s="5" t="s">
        <v>98</v>
      </c>
      <c r="P38" s="6">
        <v>43941</v>
      </c>
      <c r="Q38" s="5" t="s">
        <v>31</v>
      </c>
      <c r="R38" s="5" t="s">
        <v>32</v>
      </c>
      <c r="S38" s="5" t="s">
        <v>33</v>
      </c>
      <c r="T38" s="5"/>
      <c r="U38" s="7">
        <v>20000</v>
      </c>
      <c r="V38" s="7">
        <v>8624</v>
      </c>
      <c r="W38" s="7">
        <v>7964</v>
      </c>
      <c r="X38" s="5">
        <v>0</v>
      </c>
      <c r="Y38" s="7">
        <v>3412</v>
      </c>
    </row>
    <row r="39" spans="1:25" x14ac:dyDescent="0.25">
      <c r="A39" s="5" t="s">
        <v>26</v>
      </c>
      <c r="B39" s="5" t="s">
        <v>34</v>
      </c>
      <c r="C39" s="5" t="s">
        <v>46</v>
      </c>
      <c r="D39" s="5" t="s">
        <v>59</v>
      </c>
      <c r="E39" s="5" t="s">
        <v>39</v>
      </c>
      <c r="F39" s="5" t="s">
        <v>101</v>
      </c>
      <c r="G39" s="5">
        <v>2018</v>
      </c>
      <c r="H39" s="5" t="str">
        <f>CONCATENATE("84240833198")</f>
        <v>84240833198</v>
      </c>
      <c r="I39" s="5" t="s">
        <v>29</v>
      </c>
      <c r="J39" s="5" t="s">
        <v>30</v>
      </c>
      <c r="K39" s="5" t="str">
        <f>CONCATENATE("")</f>
        <v/>
      </c>
      <c r="L39" s="5" t="str">
        <f>CONCATENATE("14 14.1 3a")</f>
        <v>14 14.1 3a</v>
      </c>
      <c r="M39" s="5" t="str">
        <f>CONCATENATE("00878080431")</f>
        <v>00878080431</v>
      </c>
      <c r="N39" s="5" t="s">
        <v>102</v>
      </c>
      <c r="O39" s="5" t="s">
        <v>98</v>
      </c>
      <c r="P39" s="6">
        <v>43941</v>
      </c>
      <c r="Q39" s="5" t="s">
        <v>31</v>
      </c>
      <c r="R39" s="5" t="s">
        <v>32</v>
      </c>
      <c r="S39" s="5" t="s">
        <v>33</v>
      </c>
      <c r="T39" s="5"/>
      <c r="U39" s="7">
        <v>11638.6</v>
      </c>
      <c r="V39" s="7">
        <v>5018.5600000000004</v>
      </c>
      <c r="W39" s="7">
        <v>4634.49</v>
      </c>
      <c r="X39" s="5">
        <v>0</v>
      </c>
      <c r="Y39" s="7">
        <v>1985.55</v>
      </c>
    </row>
    <row r="40" spans="1:25" x14ac:dyDescent="0.25">
      <c r="A40" s="5" t="s">
        <v>26</v>
      </c>
      <c r="B40" s="5" t="s">
        <v>34</v>
      </c>
      <c r="C40" s="5" t="s">
        <v>46</v>
      </c>
      <c r="D40" s="5" t="s">
        <v>59</v>
      </c>
      <c r="E40" s="5" t="s">
        <v>39</v>
      </c>
      <c r="F40" s="5" t="s">
        <v>103</v>
      </c>
      <c r="G40" s="5">
        <v>2019</v>
      </c>
      <c r="H40" s="5" t="str">
        <f>CONCATENATE("94240768377")</f>
        <v>94240768377</v>
      </c>
      <c r="I40" s="5" t="s">
        <v>29</v>
      </c>
      <c r="J40" s="5" t="s">
        <v>30</v>
      </c>
      <c r="K40" s="5" t="str">
        <f>CONCATENATE("")</f>
        <v/>
      </c>
      <c r="L40" s="5" t="str">
        <f>CONCATENATE("14 14.1 3a")</f>
        <v>14 14.1 3a</v>
      </c>
      <c r="M40" s="5" t="str">
        <f>CONCATENATE("BRRBBR88T69I156J")</f>
        <v>BRRBBR88T69I156J</v>
      </c>
      <c r="N40" s="5" t="s">
        <v>104</v>
      </c>
      <c r="O40" s="5" t="s">
        <v>98</v>
      </c>
      <c r="P40" s="6">
        <v>43941</v>
      </c>
      <c r="Q40" s="5" t="s">
        <v>31</v>
      </c>
      <c r="R40" s="5" t="s">
        <v>32</v>
      </c>
      <c r="S40" s="5" t="s">
        <v>33</v>
      </c>
      <c r="T40" s="5"/>
      <c r="U40" s="7">
        <v>3420</v>
      </c>
      <c r="V40" s="7">
        <v>1474.7</v>
      </c>
      <c r="W40" s="7">
        <v>1361.84</v>
      </c>
      <c r="X40" s="5">
        <v>0</v>
      </c>
      <c r="Y40" s="5">
        <v>583.46</v>
      </c>
    </row>
    <row r="41" spans="1:25" ht="24.75" x14ac:dyDescent="0.25">
      <c r="A41" s="5" t="s">
        <v>26</v>
      </c>
      <c r="B41" s="5" t="s">
        <v>34</v>
      </c>
      <c r="C41" s="5" t="s">
        <v>46</v>
      </c>
      <c r="D41" s="5" t="s">
        <v>47</v>
      </c>
      <c r="E41" s="5" t="s">
        <v>39</v>
      </c>
      <c r="F41" s="5" t="s">
        <v>81</v>
      </c>
      <c r="G41" s="5">
        <v>2018</v>
      </c>
      <c r="H41" s="5" t="str">
        <f>CONCATENATE("84240564454")</f>
        <v>84240564454</v>
      </c>
      <c r="I41" s="5" t="s">
        <v>29</v>
      </c>
      <c r="J41" s="5" t="s">
        <v>30</v>
      </c>
      <c r="K41" s="5" t="str">
        <f>CONCATENATE("")</f>
        <v/>
      </c>
      <c r="L41" s="5" t="str">
        <f>CONCATENATE("10 10.1 4b")</f>
        <v>10 10.1 4b</v>
      </c>
      <c r="M41" s="5" t="str">
        <f>CONCATENATE("CVLNNL67E53G479E")</f>
        <v>CVLNNL67E53G479E</v>
      </c>
      <c r="N41" s="5" t="s">
        <v>105</v>
      </c>
      <c r="O41" s="5" t="s">
        <v>80</v>
      </c>
      <c r="P41" s="6">
        <v>43941</v>
      </c>
      <c r="Q41" s="5" t="s">
        <v>31</v>
      </c>
      <c r="R41" s="5" t="s">
        <v>32</v>
      </c>
      <c r="S41" s="5" t="s">
        <v>33</v>
      </c>
      <c r="T41" s="5"/>
      <c r="U41" s="7">
        <v>1394.28</v>
      </c>
      <c r="V41" s="5">
        <v>601.21</v>
      </c>
      <c r="W41" s="5">
        <v>555.20000000000005</v>
      </c>
      <c r="X41" s="5">
        <v>0</v>
      </c>
      <c r="Y41" s="5">
        <v>237.87</v>
      </c>
    </row>
    <row r="42" spans="1:25" ht="24.75" x14ac:dyDescent="0.25">
      <c r="A42" s="5" t="s">
        <v>26</v>
      </c>
      <c r="B42" s="5" t="s">
        <v>34</v>
      </c>
      <c r="C42" s="5" t="s">
        <v>46</v>
      </c>
      <c r="D42" s="5" t="s">
        <v>47</v>
      </c>
      <c r="E42" s="5" t="s">
        <v>39</v>
      </c>
      <c r="F42" s="5" t="s">
        <v>81</v>
      </c>
      <c r="G42" s="5">
        <v>2017</v>
      </c>
      <c r="H42" s="5" t="str">
        <f>CONCATENATE("74240839733")</f>
        <v>74240839733</v>
      </c>
      <c r="I42" s="5" t="s">
        <v>29</v>
      </c>
      <c r="J42" s="5" t="s">
        <v>30</v>
      </c>
      <c r="K42" s="5" t="str">
        <f>CONCATENATE("")</f>
        <v/>
      </c>
      <c r="L42" s="5" t="str">
        <f>CONCATENATE("10 10.1 4b")</f>
        <v>10 10.1 4b</v>
      </c>
      <c r="M42" s="5" t="str">
        <f>CONCATENATE("CVLNNL67E53G479E")</f>
        <v>CVLNNL67E53G479E</v>
      </c>
      <c r="N42" s="5" t="s">
        <v>105</v>
      </c>
      <c r="O42" s="5" t="s">
        <v>80</v>
      </c>
      <c r="P42" s="6">
        <v>43941</v>
      </c>
      <c r="Q42" s="5" t="s">
        <v>31</v>
      </c>
      <c r="R42" s="5" t="s">
        <v>32</v>
      </c>
      <c r="S42" s="5" t="s">
        <v>33</v>
      </c>
      <c r="T42" s="5"/>
      <c r="U42" s="7">
        <v>1604.33</v>
      </c>
      <c r="V42" s="5">
        <v>691.79</v>
      </c>
      <c r="W42" s="5">
        <v>638.84</v>
      </c>
      <c r="X42" s="5">
        <v>0</v>
      </c>
      <c r="Y42" s="5">
        <v>273.7</v>
      </c>
    </row>
    <row r="43" spans="1:25" ht="24.75" x14ac:dyDescent="0.25">
      <c r="A43" s="5" t="s">
        <v>26</v>
      </c>
      <c r="B43" s="5" t="s">
        <v>34</v>
      </c>
      <c r="C43" s="5" t="s">
        <v>46</v>
      </c>
      <c r="D43" s="5" t="s">
        <v>47</v>
      </c>
      <c r="E43" s="5" t="s">
        <v>39</v>
      </c>
      <c r="F43" s="5" t="s">
        <v>81</v>
      </c>
      <c r="G43" s="5">
        <v>2016</v>
      </c>
      <c r="H43" s="5" t="str">
        <f>CONCATENATE("64240876793")</f>
        <v>64240876793</v>
      </c>
      <c r="I43" s="5" t="s">
        <v>29</v>
      </c>
      <c r="J43" s="5" t="s">
        <v>30</v>
      </c>
      <c r="K43" s="5" t="str">
        <f>CONCATENATE("")</f>
        <v/>
      </c>
      <c r="L43" s="5" t="str">
        <f>CONCATENATE("10 10.1 4b")</f>
        <v>10 10.1 4b</v>
      </c>
      <c r="M43" s="5" t="str">
        <f>CONCATENATE("CVLNNL67E53G479E")</f>
        <v>CVLNNL67E53G479E</v>
      </c>
      <c r="N43" s="5" t="s">
        <v>105</v>
      </c>
      <c r="O43" s="5" t="s">
        <v>88</v>
      </c>
      <c r="P43" s="6">
        <v>43941</v>
      </c>
      <c r="Q43" s="5" t="s">
        <v>31</v>
      </c>
      <c r="R43" s="5" t="s">
        <v>32</v>
      </c>
      <c r="S43" s="5" t="s">
        <v>33</v>
      </c>
      <c r="T43" s="5"/>
      <c r="U43" s="5">
        <v>81.96</v>
      </c>
      <c r="V43" s="5">
        <v>35.340000000000003</v>
      </c>
      <c r="W43" s="5">
        <v>32.64</v>
      </c>
      <c r="X43" s="5">
        <v>0</v>
      </c>
      <c r="Y43" s="5">
        <v>13.98</v>
      </c>
    </row>
    <row r="44" spans="1:25" ht="24.75" x14ac:dyDescent="0.25">
      <c r="A44" s="5" t="s">
        <v>26</v>
      </c>
      <c r="B44" s="5" t="s">
        <v>34</v>
      </c>
      <c r="C44" s="5" t="s">
        <v>46</v>
      </c>
      <c r="D44" s="5" t="s">
        <v>54</v>
      </c>
      <c r="E44" s="5" t="s">
        <v>40</v>
      </c>
      <c r="F44" s="5" t="s">
        <v>74</v>
      </c>
      <c r="G44" s="5">
        <v>2017</v>
      </c>
      <c r="H44" s="5" t="str">
        <f>CONCATENATE("74240585625")</f>
        <v>74240585625</v>
      </c>
      <c r="I44" s="5" t="s">
        <v>29</v>
      </c>
      <c r="J44" s="5" t="s">
        <v>30</v>
      </c>
      <c r="K44" s="5" t="str">
        <f>CONCATENATE("")</f>
        <v/>
      </c>
      <c r="L44" s="5" t="str">
        <f>CONCATENATE("10 10.1 4b")</f>
        <v>10 10.1 4b</v>
      </c>
      <c r="M44" s="5" t="str">
        <f>CONCATENATE("04416570960")</f>
        <v>04416570960</v>
      </c>
      <c r="N44" s="5" t="s">
        <v>106</v>
      </c>
      <c r="O44" s="5" t="s">
        <v>88</v>
      </c>
      <c r="P44" s="6">
        <v>43941</v>
      </c>
      <c r="Q44" s="5" t="s">
        <v>31</v>
      </c>
      <c r="R44" s="5" t="s">
        <v>32</v>
      </c>
      <c r="S44" s="5" t="s">
        <v>33</v>
      </c>
      <c r="T44" s="5"/>
      <c r="U44" s="7">
        <v>3751.77</v>
      </c>
      <c r="V44" s="7">
        <v>1617.76</v>
      </c>
      <c r="W44" s="7">
        <v>1493.95</v>
      </c>
      <c r="X44" s="5">
        <v>0</v>
      </c>
      <c r="Y44" s="5">
        <v>640.05999999999995</v>
      </c>
    </row>
    <row r="45" spans="1:25" ht="24.75" x14ac:dyDescent="0.25">
      <c r="A45" s="5" t="s">
        <v>26</v>
      </c>
      <c r="B45" s="5" t="s">
        <v>34</v>
      </c>
      <c r="C45" s="5" t="s">
        <v>46</v>
      </c>
      <c r="D45" s="5" t="s">
        <v>47</v>
      </c>
      <c r="E45" s="5" t="s">
        <v>39</v>
      </c>
      <c r="F45" s="5" t="s">
        <v>81</v>
      </c>
      <c r="G45" s="5">
        <v>2019</v>
      </c>
      <c r="H45" s="5" t="str">
        <f>CONCATENATE("94240880180")</f>
        <v>94240880180</v>
      </c>
      <c r="I45" s="5" t="s">
        <v>29</v>
      </c>
      <c r="J45" s="5" t="s">
        <v>30</v>
      </c>
      <c r="K45" s="5" t="str">
        <f>CONCATENATE("")</f>
        <v/>
      </c>
      <c r="L45" s="5" t="str">
        <f>CONCATENATE("10 10.1 4b")</f>
        <v>10 10.1 4b</v>
      </c>
      <c r="M45" s="5" t="str">
        <f>CONCATENATE("PLZGRG43C12F533E")</f>
        <v>PLZGRG43C12F533E</v>
      </c>
      <c r="N45" s="5" t="s">
        <v>107</v>
      </c>
      <c r="O45" s="5" t="s">
        <v>88</v>
      </c>
      <c r="P45" s="6">
        <v>43941</v>
      </c>
      <c r="Q45" s="5" t="s">
        <v>31</v>
      </c>
      <c r="R45" s="5" t="s">
        <v>32</v>
      </c>
      <c r="S45" s="5" t="s">
        <v>33</v>
      </c>
      <c r="T45" s="5"/>
      <c r="U45" s="7">
        <v>3660.37</v>
      </c>
      <c r="V45" s="7">
        <v>1578.35</v>
      </c>
      <c r="W45" s="7">
        <v>1457.56</v>
      </c>
      <c r="X45" s="5">
        <v>0</v>
      </c>
      <c r="Y45" s="5">
        <v>624.46</v>
      </c>
    </row>
    <row r="46" spans="1:25" ht="24.75" x14ac:dyDescent="0.25">
      <c r="A46" s="5" t="s">
        <v>26</v>
      </c>
      <c r="B46" s="5" t="s">
        <v>34</v>
      </c>
      <c r="C46" s="5" t="s">
        <v>46</v>
      </c>
      <c r="D46" s="5" t="s">
        <v>54</v>
      </c>
      <c r="E46" s="5" t="s">
        <v>28</v>
      </c>
      <c r="F46" s="5" t="s">
        <v>28</v>
      </c>
      <c r="G46" s="5">
        <v>2018</v>
      </c>
      <c r="H46" s="5" t="str">
        <f>CONCATENATE("84240961395")</f>
        <v>84240961395</v>
      </c>
      <c r="I46" s="5" t="s">
        <v>29</v>
      </c>
      <c r="J46" s="5" t="s">
        <v>30</v>
      </c>
      <c r="K46" s="5" t="str">
        <f>CONCATENATE("")</f>
        <v/>
      </c>
      <c r="L46" s="5" t="str">
        <f>CONCATENATE("10 10.1 4b")</f>
        <v>10 10.1 4b</v>
      </c>
      <c r="M46" s="5" t="str">
        <f>CONCATENATE("CPCFRN66T53G005O")</f>
        <v>CPCFRN66T53G005O</v>
      </c>
      <c r="N46" s="5" t="s">
        <v>108</v>
      </c>
      <c r="O46" s="5" t="s">
        <v>88</v>
      </c>
      <c r="P46" s="6">
        <v>43941</v>
      </c>
      <c r="Q46" s="5" t="s">
        <v>31</v>
      </c>
      <c r="R46" s="5" t="s">
        <v>32</v>
      </c>
      <c r="S46" s="5" t="s">
        <v>33</v>
      </c>
      <c r="T46" s="5"/>
      <c r="U46" s="7">
        <v>2921.94</v>
      </c>
      <c r="V46" s="7">
        <v>1259.94</v>
      </c>
      <c r="W46" s="7">
        <v>1163.52</v>
      </c>
      <c r="X46" s="5">
        <v>0</v>
      </c>
      <c r="Y46" s="5">
        <v>498.48</v>
      </c>
    </row>
    <row r="47" spans="1:25" ht="24.75" x14ac:dyDescent="0.25">
      <c r="A47" s="5" t="s">
        <v>26</v>
      </c>
      <c r="B47" s="5" t="s">
        <v>34</v>
      </c>
      <c r="C47" s="5" t="s">
        <v>46</v>
      </c>
      <c r="D47" s="5" t="s">
        <v>54</v>
      </c>
      <c r="E47" s="5" t="s">
        <v>43</v>
      </c>
      <c r="F47" s="5" t="s">
        <v>109</v>
      </c>
      <c r="G47" s="5">
        <v>2018</v>
      </c>
      <c r="H47" s="5" t="str">
        <f>CONCATENATE("84240320519")</f>
        <v>84240320519</v>
      </c>
      <c r="I47" s="5" t="s">
        <v>29</v>
      </c>
      <c r="J47" s="5" t="s">
        <v>30</v>
      </c>
      <c r="K47" s="5" t="str">
        <f>CONCATENATE("")</f>
        <v/>
      </c>
      <c r="L47" s="5" t="str">
        <f>CONCATENATE("10 10.1 4b")</f>
        <v>10 10.1 4b</v>
      </c>
      <c r="M47" s="5" t="str">
        <f>CONCATENATE("GMNPIO62B27F415D")</f>
        <v>GMNPIO62B27F415D</v>
      </c>
      <c r="N47" s="5" t="s">
        <v>110</v>
      </c>
      <c r="O47" s="5" t="s">
        <v>88</v>
      </c>
      <c r="P47" s="6">
        <v>43941</v>
      </c>
      <c r="Q47" s="5" t="s">
        <v>31</v>
      </c>
      <c r="R47" s="5" t="s">
        <v>32</v>
      </c>
      <c r="S47" s="5" t="s">
        <v>33</v>
      </c>
      <c r="T47" s="5"/>
      <c r="U47" s="7">
        <v>4559.91</v>
      </c>
      <c r="V47" s="7">
        <v>1966.23</v>
      </c>
      <c r="W47" s="7">
        <v>1815.76</v>
      </c>
      <c r="X47" s="5">
        <v>0</v>
      </c>
      <c r="Y47" s="5">
        <v>777.92</v>
      </c>
    </row>
    <row r="48" spans="1:25" ht="24.75" x14ac:dyDescent="0.25">
      <c r="A48" s="5" t="s">
        <v>26</v>
      </c>
      <c r="B48" s="5" t="s">
        <v>34</v>
      </c>
      <c r="C48" s="5" t="s">
        <v>46</v>
      </c>
      <c r="D48" s="5" t="s">
        <v>59</v>
      </c>
      <c r="E48" s="5" t="s">
        <v>37</v>
      </c>
      <c r="F48" s="5" t="s">
        <v>111</v>
      </c>
      <c r="G48" s="5">
        <v>2019</v>
      </c>
      <c r="H48" s="5" t="str">
        <f>CONCATENATE("94240281462")</f>
        <v>94240281462</v>
      </c>
      <c r="I48" s="5" t="s">
        <v>29</v>
      </c>
      <c r="J48" s="5" t="s">
        <v>30</v>
      </c>
      <c r="K48" s="5" t="str">
        <f>CONCATENATE("")</f>
        <v/>
      </c>
      <c r="L48" s="5" t="str">
        <f>CONCATENATE("14 14.1 3a")</f>
        <v>14 14.1 3a</v>
      </c>
      <c r="M48" s="5" t="str">
        <f>CONCATENATE("00306110438")</f>
        <v>00306110438</v>
      </c>
      <c r="N48" s="5" t="s">
        <v>112</v>
      </c>
      <c r="O48" s="5" t="s">
        <v>98</v>
      </c>
      <c r="P48" s="6">
        <v>43941</v>
      </c>
      <c r="Q48" s="5" t="s">
        <v>31</v>
      </c>
      <c r="R48" s="5" t="s">
        <v>32</v>
      </c>
      <c r="S48" s="5" t="s">
        <v>33</v>
      </c>
      <c r="T48" s="5"/>
      <c r="U48" s="7">
        <v>5400</v>
      </c>
      <c r="V48" s="7">
        <v>2328.48</v>
      </c>
      <c r="W48" s="7">
        <v>2150.2800000000002</v>
      </c>
      <c r="X48" s="5">
        <v>0</v>
      </c>
      <c r="Y48" s="5">
        <v>921.24</v>
      </c>
    </row>
    <row r="49" spans="1:25" ht="24.75" x14ac:dyDescent="0.25">
      <c r="A49" s="5" t="s">
        <v>26</v>
      </c>
      <c r="B49" s="5" t="s">
        <v>34</v>
      </c>
      <c r="C49" s="5" t="s">
        <v>46</v>
      </c>
      <c r="D49" s="5" t="s">
        <v>54</v>
      </c>
      <c r="E49" s="5" t="s">
        <v>40</v>
      </c>
      <c r="F49" s="5" t="s">
        <v>74</v>
      </c>
      <c r="G49" s="5">
        <v>2018</v>
      </c>
      <c r="H49" s="5" t="str">
        <f>CONCATENATE("84241021645")</f>
        <v>84241021645</v>
      </c>
      <c r="I49" s="5" t="s">
        <v>29</v>
      </c>
      <c r="J49" s="5" t="s">
        <v>30</v>
      </c>
      <c r="K49" s="5" t="str">
        <f>CONCATENATE("")</f>
        <v/>
      </c>
      <c r="L49" s="5" t="str">
        <f>CONCATENATE("10 10.1 4b")</f>
        <v>10 10.1 4b</v>
      </c>
      <c r="M49" s="5" t="str">
        <f>CONCATENATE("PRZCLL52B23H321W")</f>
        <v>PRZCLL52B23H321W</v>
      </c>
      <c r="N49" s="5" t="s">
        <v>113</v>
      </c>
      <c r="O49" s="5" t="s">
        <v>88</v>
      </c>
      <c r="P49" s="6">
        <v>43941</v>
      </c>
      <c r="Q49" s="5" t="s">
        <v>31</v>
      </c>
      <c r="R49" s="5" t="s">
        <v>32</v>
      </c>
      <c r="S49" s="5" t="s">
        <v>33</v>
      </c>
      <c r="T49" s="5"/>
      <c r="U49" s="7">
        <v>2737.14</v>
      </c>
      <c r="V49" s="7">
        <v>1180.25</v>
      </c>
      <c r="W49" s="7">
        <v>1089.93</v>
      </c>
      <c r="X49" s="5">
        <v>0</v>
      </c>
      <c r="Y49" s="5">
        <v>466.96</v>
      </c>
    </row>
    <row r="50" spans="1:25" ht="24.75" x14ac:dyDescent="0.25">
      <c r="A50" s="5" t="s">
        <v>26</v>
      </c>
      <c r="B50" s="5" t="s">
        <v>34</v>
      </c>
      <c r="C50" s="5" t="s">
        <v>46</v>
      </c>
      <c r="D50" s="5" t="s">
        <v>54</v>
      </c>
      <c r="E50" s="5" t="s">
        <v>39</v>
      </c>
      <c r="F50" s="5" t="s">
        <v>114</v>
      </c>
      <c r="G50" s="5">
        <v>2018</v>
      </c>
      <c r="H50" s="5" t="str">
        <f>CONCATENATE("84240674980")</f>
        <v>84240674980</v>
      </c>
      <c r="I50" s="5" t="s">
        <v>29</v>
      </c>
      <c r="J50" s="5" t="s">
        <v>30</v>
      </c>
      <c r="K50" s="5" t="str">
        <f>CONCATENATE("")</f>
        <v/>
      </c>
      <c r="L50" s="5" t="str">
        <f>CONCATENATE("10 10.1 4b")</f>
        <v>10 10.1 4b</v>
      </c>
      <c r="M50" s="5" t="str">
        <f>CONCATENATE("PLCBRN46R26G516M")</f>
        <v>PLCBRN46R26G516M</v>
      </c>
      <c r="N50" s="5" t="s">
        <v>115</v>
      </c>
      <c r="O50" s="5" t="s">
        <v>88</v>
      </c>
      <c r="P50" s="6">
        <v>43941</v>
      </c>
      <c r="Q50" s="5" t="s">
        <v>31</v>
      </c>
      <c r="R50" s="5" t="s">
        <v>32</v>
      </c>
      <c r="S50" s="5" t="s">
        <v>33</v>
      </c>
      <c r="T50" s="5"/>
      <c r="U50" s="7">
        <v>1548.45</v>
      </c>
      <c r="V50" s="5">
        <v>667.69</v>
      </c>
      <c r="W50" s="5">
        <v>616.59</v>
      </c>
      <c r="X50" s="5">
        <v>0</v>
      </c>
      <c r="Y50" s="5">
        <v>264.17</v>
      </c>
    </row>
    <row r="51" spans="1:25" ht="24.75" x14ac:dyDescent="0.25">
      <c r="A51" s="5" t="s">
        <v>26</v>
      </c>
      <c r="B51" s="5" t="s">
        <v>34</v>
      </c>
      <c r="C51" s="5" t="s">
        <v>46</v>
      </c>
      <c r="D51" s="5" t="s">
        <v>59</v>
      </c>
      <c r="E51" s="5" t="s">
        <v>37</v>
      </c>
      <c r="F51" s="5" t="s">
        <v>111</v>
      </c>
      <c r="G51" s="5">
        <v>2019</v>
      </c>
      <c r="H51" s="5" t="str">
        <f>CONCATENATE("94240821952")</f>
        <v>94240821952</v>
      </c>
      <c r="I51" s="5" t="s">
        <v>29</v>
      </c>
      <c r="J51" s="5" t="s">
        <v>30</v>
      </c>
      <c r="K51" s="5" t="str">
        <f>CONCATENATE("")</f>
        <v/>
      </c>
      <c r="L51" s="5" t="str">
        <f>CONCATENATE("14 14.1 3a")</f>
        <v>14 14.1 3a</v>
      </c>
      <c r="M51" s="5" t="str">
        <f>CONCATENATE("01089250433")</f>
        <v>01089250433</v>
      </c>
      <c r="N51" s="5" t="s">
        <v>116</v>
      </c>
      <c r="O51" s="5" t="s">
        <v>98</v>
      </c>
      <c r="P51" s="6">
        <v>43941</v>
      </c>
      <c r="Q51" s="5" t="s">
        <v>31</v>
      </c>
      <c r="R51" s="5" t="s">
        <v>32</v>
      </c>
      <c r="S51" s="5" t="s">
        <v>33</v>
      </c>
      <c r="T51" s="5"/>
      <c r="U51" s="7">
        <v>2144.34</v>
      </c>
      <c r="V51" s="5">
        <v>924.64</v>
      </c>
      <c r="W51" s="5">
        <v>853.88</v>
      </c>
      <c r="X51" s="5">
        <v>0</v>
      </c>
      <c r="Y51" s="5">
        <v>365.82</v>
      </c>
    </row>
    <row r="52" spans="1:25" x14ac:dyDescent="0.25">
      <c r="A52" s="5" t="s">
        <v>26</v>
      </c>
      <c r="B52" s="5" t="s">
        <v>34</v>
      </c>
      <c r="C52" s="5" t="s">
        <v>46</v>
      </c>
      <c r="D52" s="5" t="s">
        <v>59</v>
      </c>
      <c r="E52" s="5" t="s">
        <v>39</v>
      </c>
      <c r="F52" s="5" t="s">
        <v>117</v>
      </c>
      <c r="G52" s="5">
        <v>2019</v>
      </c>
      <c r="H52" s="5" t="str">
        <f>CONCATENATE("94240138779")</f>
        <v>94240138779</v>
      </c>
      <c r="I52" s="5" t="s">
        <v>29</v>
      </c>
      <c r="J52" s="5" t="s">
        <v>30</v>
      </c>
      <c r="K52" s="5" t="str">
        <f>CONCATENATE("")</f>
        <v/>
      </c>
      <c r="L52" s="5" t="str">
        <f>CONCATENATE("14 14.1 3a")</f>
        <v>14 14.1 3a</v>
      </c>
      <c r="M52" s="5" t="str">
        <f>CONCATENATE("SNTFNC78R54D653N")</f>
        <v>SNTFNC78R54D653N</v>
      </c>
      <c r="N52" s="5" t="s">
        <v>94</v>
      </c>
      <c r="O52" s="5" t="s">
        <v>98</v>
      </c>
      <c r="P52" s="6">
        <v>43941</v>
      </c>
      <c r="Q52" s="5" t="s">
        <v>31</v>
      </c>
      <c r="R52" s="5" t="s">
        <v>32</v>
      </c>
      <c r="S52" s="5" t="s">
        <v>33</v>
      </c>
      <c r="T52" s="5"/>
      <c r="U52" s="7">
        <v>1550.77</v>
      </c>
      <c r="V52" s="5">
        <v>668.69</v>
      </c>
      <c r="W52" s="5">
        <v>617.52</v>
      </c>
      <c r="X52" s="5">
        <v>0</v>
      </c>
      <c r="Y52" s="5">
        <v>264.56</v>
      </c>
    </row>
    <row r="53" spans="1:25" x14ac:dyDescent="0.25">
      <c r="A53" s="5" t="s">
        <v>26</v>
      </c>
      <c r="B53" s="5" t="s">
        <v>34</v>
      </c>
      <c r="C53" s="5" t="s">
        <v>46</v>
      </c>
      <c r="D53" s="5" t="s">
        <v>59</v>
      </c>
      <c r="E53" s="5" t="s">
        <v>39</v>
      </c>
      <c r="F53" s="5" t="s">
        <v>117</v>
      </c>
      <c r="G53" s="5">
        <v>2019</v>
      </c>
      <c r="H53" s="5" t="str">
        <f>CONCATENATE("94240210511")</f>
        <v>94240210511</v>
      </c>
      <c r="I53" s="5" t="s">
        <v>29</v>
      </c>
      <c r="J53" s="5" t="s">
        <v>30</v>
      </c>
      <c r="K53" s="5" t="str">
        <f>CONCATENATE("")</f>
        <v/>
      </c>
      <c r="L53" s="5" t="str">
        <f>CONCATENATE("14 14.1 3a")</f>
        <v>14 14.1 3a</v>
      </c>
      <c r="M53" s="5" t="str">
        <f>CONCATENATE("CRSPQL70B12F051W")</f>
        <v>CRSPQL70B12F051W</v>
      </c>
      <c r="N53" s="5" t="s">
        <v>118</v>
      </c>
      <c r="O53" s="5" t="s">
        <v>98</v>
      </c>
      <c r="P53" s="6">
        <v>43941</v>
      </c>
      <c r="Q53" s="5" t="s">
        <v>31</v>
      </c>
      <c r="R53" s="5" t="s">
        <v>32</v>
      </c>
      <c r="S53" s="5" t="s">
        <v>33</v>
      </c>
      <c r="T53" s="5"/>
      <c r="U53" s="7">
        <v>5005</v>
      </c>
      <c r="V53" s="7">
        <v>2158.16</v>
      </c>
      <c r="W53" s="7">
        <v>1992.99</v>
      </c>
      <c r="X53" s="5">
        <v>0</v>
      </c>
      <c r="Y53" s="5">
        <v>853.85</v>
      </c>
    </row>
    <row r="54" spans="1:25" x14ac:dyDescent="0.25">
      <c r="A54" s="5" t="s">
        <v>26</v>
      </c>
      <c r="B54" s="5" t="s">
        <v>34</v>
      </c>
      <c r="C54" s="5" t="s">
        <v>46</v>
      </c>
      <c r="D54" s="5" t="s">
        <v>59</v>
      </c>
      <c r="E54" s="5" t="s">
        <v>39</v>
      </c>
      <c r="F54" s="5" t="s">
        <v>117</v>
      </c>
      <c r="G54" s="5">
        <v>2018</v>
      </c>
      <c r="H54" s="5" t="str">
        <f>CONCATENATE("84240606354")</f>
        <v>84240606354</v>
      </c>
      <c r="I54" s="5" t="s">
        <v>29</v>
      </c>
      <c r="J54" s="5" t="s">
        <v>30</v>
      </c>
      <c r="K54" s="5" t="str">
        <f>CONCATENATE("")</f>
        <v/>
      </c>
      <c r="L54" s="5" t="str">
        <f>CONCATENATE("14 14.1 3a")</f>
        <v>14 14.1 3a</v>
      </c>
      <c r="M54" s="5" t="str">
        <f>CONCATENATE("01761610433")</f>
        <v>01761610433</v>
      </c>
      <c r="N54" s="5" t="s">
        <v>119</v>
      </c>
      <c r="O54" s="5" t="s">
        <v>98</v>
      </c>
      <c r="P54" s="6">
        <v>43941</v>
      </c>
      <c r="Q54" s="5" t="s">
        <v>31</v>
      </c>
      <c r="R54" s="5" t="s">
        <v>32</v>
      </c>
      <c r="S54" s="5" t="s">
        <v>33</v>
      </c>
      <c r="T54" s="5"/>
      <c r="U54" s="7">
        <v>2236.6799999999998</v>
      </c>
      <c r="V54" s="5">
        <v>964.46</v>
      </c>
      <c r="W54" s="5">
        <v>890.65</v>
      </c>
      <c r="X54" s="5">
        <v>0</v>
      </c>
      <c r="Y54" s="5">
        <v>381.57</v>
      </c>
    </row>
    <row r="55" spans="1:25" x14ac:dyDescent="0.25">
      <c r="A55" s="5" t="s">
        <v>26</v>
      </c>
      <c r="B55" s="5" t="s">
        <v>34</v>
      </c>
      <c r="C55" s="5" t="s">
        <v>46</v>
      </c>
      <c r="D55" s="5" t="s">
        <v>59</v>
      </c>
      <c r="E55" s="5" t="s">
        <v>39</v>
      </c>
      <c r="F55" s="5" t="s">
        <v>120</v>
      </c>
      <c r="G55" s="5">
        <v>2019</v>
      </c>
      <c r="H55" s="5" t="str">
        <f>CONCATENATE("94240712318")</f>
        <v>94240712318</v>
      </c>
      <c r="I55" s="5" t="s">
        <v>29</v>
      </c>
      <c r="J55" s="5" t="s">
        <v>30</v>
      </c>
      <c r="K55" s="5" t="str">
        <f>CONCATENATE("")</f>
        <v/>
      </c>
      <c r="L55" s="5" t="str">
        <f>CONCATENATE("14 14.1 3a")</f>
        <v>14 14.1 3a</v>
      </c>
      <c r="M55" s="5" t="str">
        <f>CONCATENATE("NTNMRA80P13L191Z")</f>
        <v>NTNMRA80P13L191Z</v>
      </c>
      <c r="N55" s="5" t="s">
        <v>121</v>
      </c>
      <c r="O55" s="5" t="s">
        <v>98</v>
      </c>
      <c r="P55" s="6">
        <v>43941</v>
      </c>
      <c r="Q55" s="5" t="s">
        <v>31</v>
      </c>
      <c r="R55" s="5" t="s">
        <v>32</v>
      </c>
      <c r="S55" s="5" t="s">
        <v>33</v>
      </c>
      <c r="T55" s="5"/>
      <c r="U55" s="5">
        <v>858</v>
      </c>
      <c r="V55" s="5">
        <v>369.97</v>
      </c>
      <c r="W55" s="5">
        <v>341.66</v>
      </c>
      <c r="X55" s="5">
        <v>0</v>
      </c>
      <c r="Y55" s="5">
        <v>146.37</v>
      </c>
    </row>
    <row r="56" spans="1:25" x14ac:dyDescent="0.25">
      <c r="A56" s="5" t="s">
        <v>26</v>
      </c>
      <c r="B56" s="5" t="s">
        <v>34</v>
      </c>
      <c r="C56" s="5" t="s">
        <v>46</v>
      </c>
      <c r="D56" s="5" t="s">
        <v>59</v>
      </c>
      <c r="E56" s="5" t="s">
        <v>37</v>
      </c>
      <c r="F56" s="5" t="s">
        <v>99</v>
      </c>
      <c r="G56" s="5">
        <v>2018</v>
      </c>
      <c r="H56" s="5" t="str">
        <f>CONCATENATE("84240872519")</f>
        <v>84240872519</v>
      </c>
      <c r="I56" s="5" t="s">
        <v>29</v>
      </c>
      <c r="J56" s="5" t="s">
        <v>30</v>
      </c>
      <c r="K56" s="5" t="str">
        <f>CONCATENATE("")</f>
        <v/>
      </c>
      <c r="L56" s="5" t="str">
        <f>CONCATENATE("14 14.1 3a")</f>
        <v>14 14.1 3a</v>
      </c>
      <c r="M56" s="5" t="str">
        <f>CONCATENATE("CRFPPN66A10M078Z")</f>
        <v>CRFPPN66A10M078Z</v>
      </c>
      <c r="N56" s="5" t="s">
        <v>122</v>
      </c>
      <c r="O56" s="5" t="s">
        <v>98</v>
      </c>
      <c r="P56" s="6">
        <v>43941</v>
      </c>
      <c r="Q56" s="5" t="s">
        <v>31</v>
      </c>
      <c r="R56" s="5" t="s">
        <v>32</v>
      </c>
      <c r="S56" s="5" t="s">
        <v>33</v>
      </c>
      <c r="T56" s="5"/>
      <c r="U56" s="7">
        <v>2780.4</v>
      </c>
      <c r="V56" s="7">
        <v>1198.9100000000001</v>
      </c>
      <c r="W56" s="7">
        <v>1107.1600000000001</v>
      </c>
      <c r="X56" s="5">
        <v>0</v>
      </c>
      <c r="Y56" s="5">
        <v>474.33</v>
      </c>
    </row>
    <row r="57" spans="1:25" x14ac:dyDescent="0.25">
      <c r="A57" s="5" t="s">
        <v>26</v>
      </c>
      <c r="B57" s="5" t="s">
        <v>34</v>
      </c>
      <c r="C57" s="5" t="s">
        <v>46</v>
      </c>
      <c r="D57" s="5" t="s">
        <v>59</v>
      </c>
      <c r="E57" s="5" t="s">
        <v>37</v>
      </c>
      <c r="F57" s="5" t="s">
        <v>99</v>
      </c>
      <c r="G57" s="5">
        <v>2019</v>
      </c>
      <c r="H57" s="5" t="str">
        <f>CONCATENATE("94240601800")</f>
        <v>94240601800</v>
      </c>
      <c r="I57" s="5" t="s">
        <v>29</v>
      </c>
      <c r="J57" s="5" t="s">
        <v>30</v>
      </c>
      <c r="K57" s="5" t="str">
        <f>CONCATENATE("")</f>
        <v/>
      </c>
      <c r="L57" s="5" t="str">
        <f>CONCATENATE("14 14.1 3a")</f>
        <v>14 14.1 3a</v>
      </c>
      <c r="M57" s="5" t="str">
        <f>CONCATENATE("PZZPLA69L26B474L")</f>
        <v>PZZPLA69L26B474L</v>
      </c>
      <c r="N57" s="5" t="s">
        <v>123</v>
      </c>
      <c r="O57" s="5" t="s">
        <v>98</v>
      </c>
      <c r="P57" s="6">
        <v>43941</v>
      </c>
      <c r="Q57" s="5" t="s">
        <v>31</v>
      </c>
      <c r="R57" s="5" t="s">
        <v>32</v>
      </c>
      <c r="S57" s="5" t="s">
        <v>33</v>
      </c>
      <c r="T57" s="5"/>
      <c r="U57" s="7">
        <v>9480</v>
      </c>
      <c r="V57" s="7">
        <v>4087.78</v>
      </c>
      <c r="W57" s="7">
        <v>3774.94</v>
      </c>
      <c r="X57" s="5">
        <v>0</v>
      </c>
      <c r="Y57" s="7">
        <v>1617.28</v>
      </c>
    </row>
    <row r="58" spans="1:25" ht="24.75" x14ac:dyDescent="0.25">
      <c r="A58" s="5" t="s">
        <v>26</v>
      </c>
      <c r="B58" s="5" t="s">
        <v>34</v>
      </c>
      <c r="C58" s="5" t="s">
        <v>46</v>
      </c>
      <c r="D58" s="5" t="s">
        <v>54</v>
      </c>
      <c r="E58" s="5" t="s">
        <v>124</v>
      </c>
      <c r="F58" s="5" t="s">
        <v>125</v>
      </c>
      <c r="G58" s="5">
        <v>2019</v>
      </c>
      <c r="H58" s="5" t="str">
        <f>CONCATENATE("94770002916")</f>
        <v>94770002916</v>
      </c>
      <c r="I58" s="5" t="s">
        <v>29</v>
      </c>
      <c r="J58" s="5" t="s">
        <v>36</v>
      </c>
      <c r="K58" s="5" t="str">
        <f>CONCATENATE("214")</f>
        <v>214</v>
      </c>
      <c r="L58" s="5" t="str">
        <f>CONCATENATE("11 11.1 4b")</f>
        <v>11 11.1 4b</v>
      </c>
      <c r="M58" s="5" t="str">
        <f>CONCATENATE("GLNGRG58M11G224Y")</f>
        <v>GLNGRG58M11G224Y</v>
      </c>
      <c r="N58" s="5" t="s">
        <v>126</v>
      </c>
      <c r="O58" s="5" t="s">
        <v>127</v>
      </c>
      <c r="P58" s="6">
        <v>43941</v>
      </c>
      <c r="Q58" s="5" t="s">
        <v>31</v>
      </c>
      <c r="R58" s="5" t="s">
        <v>32</v>
      </c>
      <c r="S58" s="5" t="s">
        <v>33</v>
      </c>
      <c r="T58" s="5"/>
      <c r="U58" s="5">
        <v>408.96</v>
      </c>
      <c r="V58" s="5">
        <v>176.34</v>
      </c>
      <c r="W58" s="5">
        <v>162.85</v>
      </c>
      <c r="X58" s="5">
        <v>0</v>
      </c>
      <c r="Y58" s="5">
        <v>69.77</v>
      </c>
    </row>
    <row r="59" spans="1:25" ht="24.75" x14ac:dyDescent="0.25">
      <c r="A59" s="5" t="s">
        <v>26</v>
      </c>
      <c r="B59" s="5" t="s">
        <v>34</v>
      </c>
      <c r="C59" s="5" t="s">
        <v>46</v>
      </c>
      <c r="D59" s="5" t="s">
        <v>54</v>
      </c>
      <c r="E59" s="5" t="s">
        <v>35</v>
      </c>
      <c r="F59" s="5" t="s">
        <v>128</v>
      </c>
      <c r="G59" s="5">
        <v>2019</v>
      </c>
      <c r="H59" s="5" t="str">
        <f>CONCATENATE("94770047606")</f>
        <v>94770047606</v>
      </c>
      <c r="I59" s="5" t="s">
        <v>29</v>
      </c>
      <c r="J59" s="5" t="s">
        <v>36</v>
      </c>
      <c r="K59" s="5" t="str">
        <f>CONCATENATE("214")</f>
        <v>214</v>
      </c>
      <c r="L59" s="5" t="str">
        <f>CONCATENATE("11 11.2 4b")</f>
        <v>11 11.2 4b</v>
      </c>
      <c r="M59" s="5" t="str">
        <f>CONCATENATE("RNLMRC78H25A462U")</f>
        <v>RNLMRC78H25A462U</v>
      </c>
      <c r="N59" s="5" t="s">
        <v>129</v>
      </c>
      <c r="O59" s="5" t="s">
        <v>127</v>
      </c>
      <c r="P59" s="6">
        <v>43941</v>
      </c>
      <c r="Q59" s="5" t="s">
        <v>31</v>
      </c>
      <c r="R59" s="5" t="s">
        <v>32</v>
      </c>
      <c r="S59" s="5" t="s">
        <v>33</v>
      </c>
      <c r="T59" s="5"/>
      <c r="U59" s="5">
        <v>200.57</v>
      </c>
      <c r="V59" s="5">
        <v>86.49</v>
      </c>
      <c r="W59" s="5">
        <v>79.87</v>
      </c>
      <c r="X59" s="5">
        <v>0</v>
      </c>
      <c r="Y59" s="5">
        <v>34.21</v>
      </c>
    </row>
    <row r="60" spans="1:25" x14ac:dyDescent="0.25">
      <c r="A60" s="5" t="s">
        <v>26</v>
      </c>
      <c r="B60" s="5" t="s">
        <v>27</v>
      </c>
      <c r="C60" s="5" t="s">
        <v>46</v>
      </c>
      <c r="D60" s="5" t="s">
        <v>59</v>
      </c>
      <c r="E60" s="5" t="s">
        <v>28</v>
      </c>
      <c r="F60" s="5" t="s">
        <v>28</v>
      </c>
      <c r="G60" s="5">
        <v>2017</v>
      </c>
      <c r="H60" s="5" t="str">
        <f>CONCATENATE("94270173829")</f>
        <v>94270173829</v>
      </c>
      <c r="I60" s="5" t="s">
        <v>29</v>
      </c>
      <c r="J60" s="5" t="s">
        <v>30</v>
      </c>
      <c r="K60" s="5" t="str">
        <f>CONCATENATE("")</f>
        <v/>
      </c>
      <c r="L60" s="5" t="str">
        <f>CONCATENATE("6 6.1 2b")</f>
        <v>6 6.1 2b</v>
      </c>
      <c r="M60" s="5" t="str">
        <f>CONCATENATE("SNTFNC78R54D653N")</f>
        <v>SNTFNC78R54D653N</v>
      </c>
      <c r="N60" s="5" t="s">
        <v>94</v>
      </c>
      <c r="O60" s="5" t="s">
        <v>130</v>
      </c>
      <c r="P60" s="6">
        <v>43941</v>
      </c>
      <c r="Q60" s="5" t="s">
        <v>31</v>
      </c>
      <c r="R60" s="5" t="s">
        <v>32</v>
      </c>
      <c r="S60" s="5" t="s">
        <v>33</v>
      </c>
      <c r="T60" s="5"/>
      <c r="U60" s="7">
        <v>35000</v>
      </c>
      <c r="V60" s="7">
        <v>15092</v>
      </c>
      <c r="W60" s="7">
        <v>13937</v>
      </c>
      <c r="X60" s="5">
        <v>0</v>
      </c>
      <c r="Y60" s="7">
        <v>5971</v>
      </c>
    </row>
    <row r="61" spans="1:25" x14ac:dyDescent="0.25">
      <c r="A61" s="5" t="s">
        <v>26</v>
      </c>
      <c r="B61" s="5" t="s">
        <v>34</v>
      </c>
      <c r="C61" s="5" t="s">
        <v>46</v>
      </c>
      <c r="D61" s="5" t="s">
        <v>59</v>
      </c>
      <c r="E61" s="5" t="s">
        <v>39</v>
      </c>
      <c r="F61" s="5" t="s">
        <v>103</v>
      </c>
      <c r="G61" s="5">
        <v>2019</v>
      </c>
      <c r="H61" s="5" t="str">
        <f>CONCATENATE("94210831270")</f>
        <v>94210831270</v>
      </c>
      <c r="I61" s="5" t="s">
        <v>29</v>
      </c>
      <c r="J61" s="5" t="s">
        <v>30</v>
      </c>
      <c r="K61" s="5" t="str">
        <f>CONCATENATE("")</f>
        <v/>
      </c>
      <c r="L61" s="5" t="str">
        <f>CONCATENATE("12 12.2 4a")</f>
        <v>12 12.2 4a</v>
      </c>
      <c r="M61" s="5" t="str">
        <f>CONCATENATE("01786360436")</f>
        <v>01786360436</v>
      </c>
      <c r="N61" s="5" t="s">
        <v>131</v>
      </c>
      <c r="O61" s="5" t="s">
        <v>132</v>
      </c>
      <c r="P61" s="6">
        <v>43941</v>
      </c>
      <c r="Q61" s="5" t="s">
        <v>31</v>
      </c>
      <c r="R61" s="5" t="s">
        <v>32</v>
      </c>
      <c r="S61" s="5" t="s">
        <v>33</v>
      </c>
      <c r="T61" s="5"/>
      <c r="U61" s="7">
        <v>1800.58</v>
      </c>
      <c r="V61" s="5">
        <v>776.41</v>
      </c>
      <c r="W61" s="5">
        <v>716.99</v>
      </c>
      <c r="X61" s="5">
        <v>0</v>
      </c>
      <c r="Y61" s="5">
        <v>307.18</v>
      </c>
    </row>
    <row r="62" spans="1:25" x14ac:dyDescent="0.25">
      <c r="A62" s="5" t="s">
        <v>26</v>
      </c>
      <c r="B62" s="5" t="s">
        <v>34</v>
      </c>
      <c r="C62" s="5" t="s">
        <v>46</v>
      </c>
      <c r="D62" s="5" t="s">
        <v>59</v>
      </c>
      <c r="E62" s="5" t="s">
        <v>39</v>
      </c>
      <c r="F62" s="5" t="s">
        <v>117</v>
      </c>
      <c r="G62" s="5">
        <v>2018</v>
      </c>
      <c r="H62" s="5" t="str">
        <f>CONCATENATE("84240696603")</f>
        <v>84240696603</v>
      </c>
      <c r="I62" s="5" t="s">
        <v>29</v>
      </c>
      <c r="J62" s="5" t="s">
        <v>30</v>
      </c>
      <c r="K62" s="5" t="str">
        <f>CONCATENATE("")</f>
        <v/>
      </c>
      <c r="L62" s="5" t="str">
        <f>CONCATENATE("14 14.1 3a")</f>
        <v>14 14.1 3a</v>
      </c>
      <c r="M62" s="5" t="str">
        <f>CONCATENATE("NGLMRK78A11B474J")</f>
        <v>NGLMRK78A11B474J</v>
      </c>
      <c r="N62" s="5" t="s">
        <v>133</v>
      </c>
      <c r="O62" s="5" t="s">
        <v>98</v>
      </c>
      <c r="P62" s="6">
        <v>43941</v>
      </c>
      <c r="Q62" s="5" t="s">
        <v>31</v>
      </c>
      <c r="R62" s="5" t="s">
        <v>32</v>
      </c>
      <c r="S62" s="5" t="s">
        <v>33</v>
      </c>
      <c r="T62" s="5"/>
      <c r="U62" s="5">
        <v>393.98</v>
      </c>
      <c r="V62" s="5">
        <v>169.88</v>
      </c>
      <c r="W62" s="5">
        <v>156.88</v>
      </c>
      <c r="X62" s="5">
        <v>0</v>
      </c>
      <c r="Y62" s="5">
        <v>67.22</v>
      </c>
    </row>
    <row r="63" spans="1:25" x14ac:dyDescent="0.25">
      <c r="A63" s="5" t="s">
        <v>26</v>
      </c>
      <c r="B63" s="5" t="s">
        <v>34</v>
      </c>
      <c r="C63" s="5" t="s">
        <v>46</v>
      </c>
      <c r="D63" s="5" t="s">
        <v>59</v>
      </c>
      <c r="E63" s="5" t="s">
        <v>39</v>
      </c>
      <c r="F63" s="5" t="s">
        <v>117</v>
      </c>
      <c r="G63" s="5">
        <v>2019</v>
      </c>
      <c r="H63" s="5" t="str">
        <f>CONCATENATE("94240796345")</f>
        <v>94240796345</v>
      </c>
      <c r="I63" s="5" t="s">
        <v>29</v>
      </c>
      <c r="J63" s="5" t="s">
        <v>30</v>
      </c>
      <c r="K63" s="5" t="str">
        <f>CONCATENATE("")</f>
        <v/>
      </c>
      <c r="L63" s="5" t="str">
        <f>CONCATENATE("14 14.1 3a")</f>
        <v>14 14.1 3a</v>
      </c>
      <c r="M63" s="5" t="str">
        <f>CONCATENATE("NGLMRK78A11B474J")</f>
        <v>NGLMRK78A11B474J</v>
      </c>
      <c r="N63" s="5" t="s">
        <v>133</v>
      </c>
      <c r="O63" s="5" t="s">
        <v>98</v>
      </c>
      <c r="P63" s="6">
        <v>43941</v>
      </c>
      <c r="Q63" s="5" t="s">
        <v>31</v>
      </c>
      <c r="R63" s="5" t="s">
        <v>32</v>
      </c>
      <c r="S63" s="5" t="s">
        <v>33</v>
      </c>
      <c r="T63" s="5"/>
      <c r="U63" s="7">
        <v>3283.2</v>
      </c>
      <c r="V63" s="7">
        <v>1415.72</v>
      </c>
      <c r="W63" s="7">
        <v>1307.3699999999999</v>
      </c>
      <c r="X63" s="5">
        <v>0</v>
      </c>
      <c r="Y63" s="5">
        <v>560.11</v>
      </c>
    </row>
    <row r="64" spans="1:25" x14ac:dyDescent="0.25">
      <c r="A64" s="5" t="s">
        <v>26</v>
      </c>
      <c r="B64" s="5" t="s">
        <v>34</v>
      </c>
      <c r="C64" s="5" t="s">
        <v>46</v>
      </c>
      <c r="D64" s="5" t="s">
        <v>59</v>
      </c>
      <c r="E64" s="5" t="s">
        <v>37</v>
      </c>
      <c r="F64" s="5" t="s">
        <v>99</v>
      </c>
      <c r="G64" s="5">
        <v>2018</v>
      </c>
      <c r="H64" s="5" t="str">
        <f>CONCATENATE("84240413231")</f>
        <v>84240413231</v>
      </c>
      <c r="I64" s="5" t="s">
        <v>41</v>
      </c>
      <c r="J64" s="5" t="s">
        <v>30</v>
      </c>
      <c r="K64" s="5" t="str">
        <f>CONCATENATE("")</f>
        <v/>
      </c>
      <c r="L64" s="5" t="str">
        <f>CONCATENATE("14 14.1 3a")</f>
        <v>14 14.1 3a</v>
      </c>
      <c r="M64" s="5" t="str">
        <f>CONCATENATE("RCCSFN79A06I156Z")</f>
        <v>RCCSFN79A06I156Z</v>
      </c>
      <c r="N64" s="5" t="s">
        <v>134</v>
      </c>
      <c r="O64" s="5" t="s">
        <v>98</v>
      </c>
      <c r="P64" s="6">
        <v>43941</v>
      </c>
      <c r="Q64" s="5" t="s">
        <v>31</v>
      </c>
      <c r="R64" s="5" t="s">
        <v>32</v>
      </c>
      <c r="S64" s="5" t="s">
        <v>33</v>
      </c>
      <c r="T64" s="5"/>
      <c r="U64" s="7">
        <v>2105.16</v>
      </c>
      <c r="V64" s="5">
        <v>907.74</v>
      </c>
      <c r="W64" s="5">
        <v>838.27</v>
      </c>
      <c r="X64" s="5">
        <v>0</v>
      </c>
      <c r="Y64" s="5">
        <v>359.15</v>
      </c>
    </row>
    <row r="65" spans="1:25" x14ac:dyDescent="0.25">
      <c r="A65" s="5" t="s">
        <v>26</v>
      </c>
      <c r="B65" s="5" t="s">
        <v>34</v>
      </c>
      <c r="C65" s="5" t="s">
        <v>46</v>
      </c>
      <c r="D65" s="5" t="s">
        <v>59</v>
      </c>
      <c r="E65" s="5" t="s">
        <v>37</v>
      </c>
      <c r="F65" s="5" t="s">
        <v>99</v>
      </c>
      <c r="G65" s="5">
        <v>2019</v>
      </c>
      <c r="H65" s="5" t="str">
        <f>CONCATENATE("94240574775")</f>
        <v>94240574775</v>
      </c>
      <c r="I65" s="5" t="s">
        <v>29</v>
      </c>
      <c r="J65" s="5" t="s">
        <v>30</v>
      </c>
      <c r="K65" s="5" t="str">
        <f>CONCATENATE("")</f>
        <v/>
      </c>
      <c r="L65" s="5" t="str">
        <f>CONCATENATE("14 14.1 3a")</f>
        <v>14 14.1 3a</v>
      </c>
      <c r="M65" s="5" t="str">
        <f>CONCATENATE("RCCSFN79A06I156Z")</f>
        <v>RCCSFN79A06I156Z</v>
      </c>
      <c r="N65" s="5" t="s">
        <v>134</v>
      </c>
      <c r="O65" s="5" t="s">
        <v>98</v>
      </c>
      <c r="P65" s="6">
        <v>43941</v>
      </c>
      <c r="Q65" s="5" t="s">
        <v>31</v>
      </c>
      <c r="R65" s="5" t="s">
        <v>32</v>
      </c>
      <c r="S65" s="5" t="s">
        <v>33</v>
      </c>
      <c r="T65" s="5"/>
      <c r="U65" s="7">
        <v>14034.4</v>
      </c>
      <c r="V65" s="7">
        <v>6051.63</v>
      </c>
      <c r="W65" s="7">
        <v>5588.5</v>
      </c>
      <c r="X65" s="5">
        <v>0</v>
      </c>
      <c r="Y65" s="7">
        <v>2394.27</v>
      </c>
    </row>
    <row r="66" spans="1:25" x14ac:dyDescent="0.25">
      <c r="A66" s="5" t="s">
        <v>26</v>
      </c>
      <c r="B66" s="5" t="s">
        <v>34</v>
      </c>
      <c r="C66" s="5" t="s">
        <v>46</v>
      </c>
      <c r="D66" s="5" t="s">
        <v>59</v>
      </c>
      <c r="E66" s="5" t="s">
        <v>39</v>
      </c>
      <c r="F66" s="5" t="s">
        <v>117</v>
      </c>
      <c r="G66" s="5">
        <v>2018</v>
      </c>
      <c r="H66" s="5" t="str">
        <f>CONCATENATE("84240158604")</f>
        <v>84240158604</v>
      </c>
      <c r="I66" s="5" t="s">
        <v>29</v>
      </c>
      <c r="J66" s="5" t="s">
        <v>30</v>
      </c>
      <c r="K66" s="5" t="str">
        <f>CONCATENATE("")</f>
        <v/>
      </c>
      <c r="L66" s="5" t="str">
        <f>CONCATENATE("14 14.1 3a")</f>
        <v>14 14.1 3a</v>
      </c>
      <c r="M66" s="5" t="str">
        <f>CONCATENATE("CRRLGU66B11D628H")</f>
        <v>CRRLGU66B11D628H</v>
      </c>
      <c r="N66" s="5" t="s">
        <v>135</v>
      </c>
      <c r="O66" s="5" t="s">
        <v>98</v>
      </c>
      <c r="P66" s="6">
        <v>43941</v>
      </c>
      <c r="Q66" s="5" t="s">
        <v>31</v>
      </c>
      <c r="R66" s="5" t="s">
        <v>32</v>
      </c>
      <c r="S66" s="5" t="s">
        <v>33</v>
      </c>
      <c r="T66" s="5"/>
      <c r="U66" s="7">
        <v>2275.1999999999998</v>
      </c>
      <c r="V66" s="5">
        <v>981.07</v>
      </c>
      <c r="W66" s="5">
        <v>905.98</v>
      </c>
      <c r="X66" s="5">
        <v>0</v>
      </c>
      <c r="Y66" s="5">
        <v>388.15</v>
      </c>
    </row>
    <row r="67" spans="1:25" ht="24.75" x14ac:dyDescent="0.25">
      <c r="A67" s="5" t="s">
        <v>26</v>
      </c>
      <c r="B67" s="5" t="s">
        <v>34</v>
      </c>
      <c r="C67" s="5" t="s">
        <v>46</v>
      </c>
      <c r="D67" s="5" t="s">
        <v>59</v>
      </c>
      <c r="E67" s="5" t="s">
        <v>39</v>
      </c>
      <c r="F67" s="5" t="s">
        <v>117</v>
      </c>
      <c r="G67" s="5">
        <v>2019</v>
      </c>
      <c r="H67" s="5" t="str">
        <f>CONCATENATE("94240634827")</f>
        <v>94240634827</v>
      </c>
      <c r="I67" s="5" t="s">
        <v>29</v>
      </c>
      <c r="J67" s="5" t="s">
        <v>30</v>
      </c>
      <c r="K67" s="5" t="str">
        <f>CONCATENATE("")</f>
        <v/>
      </c>
      <c r="L67" s="5" t="str">
        <f>CONCATENATE("14 14.1 3a")</f>
        <v>14 14.1 3a</v>
      </c>
      <c r="M67" s="5" t="str">
        <f>CONCATENATE("00395910433")</f>
        <v>00395910433</v>
      </c>
      <c r="N67" s="5" t="s">
        <v>136</v>
      </c>
      <c r="O67" s="5" t="s">
        <v>98</v>
      </c>
      <c r="P67" s="6">
        <v>43941</v>
      </c>
      <c r="Q67" s="5" t="s">
        <v>31</v>
      </c>
      <c r="R67" s="5" t="s">
        <v>32</v>
      </c>
      <c r="S67" s="5" t="s">
        <v>33</v>
      </c>
      <c r="T67" s="5"/>
      <c r="U67" s="7">
        <v>3412.32</v>
      </c>
      <c r="V67" s="7">
        <v>1471.39</v>
      </c>
      <c r="W67" s="7">
        <v>1358.79</v>
      </c>
      <c r="X67" s="5">
        <v>0</v>
      </c>
      <c r="Y67" s="5">
        <v>582.14</v>
      </c>
    </row>
    <row r="68" spans="1:25" ht="24.75" x14ac:dyDescent="0.25">
      <c r="A68" s="5" t="s">
        <v>26</v>
      </c>
      <c r="B68" s="5" t="s">
        <v>34</v>
      </c>
      <c r="C68" s="5" t="s">
        <v>46</v>
      </c>
      <c r="D68" s="5" t="s">
        <v>59</v>
      </c>
      <c r="E68" s="5" t="s">
        <v>44</v>
      </c>
      <c r="F68" s="5" t="s">
        <v>137</v>
      </c>
      <c r="G68" s="5">
        <v>2018</v>
      </c>
      <c r="H68" s="5" t="str">
        <f>CONCATENATE("84240583066")</f>
        <v>84240583066</v>
      </c>
      <c r="I68" s="5" t="s">
        <v>29</v>
      </c>
      <c r="J68" s="5" t="s">
        <v>30</v>
      </c>
      <c r="K68" s="5" t="str">
        <f>CONCATENATE("")</f>
        <v/>
      </c>
      <c r="L68" s="5" t="str">
        <f>CONCATENATE("14 14.1 3a")</f>
        <v>14 14.1 3a</v>
      </c>
      <c r="M68" s="5" t="str">
        <f>CONCATENATE("00811080431")</f>
        <v>00811080431</v>
      </c>
      <c r="N68" s="5" t="s">
        <v>138</v>
      </c>
      <c r="O68" s="5" t="s">
        <v>98</v>
      </c>
      <c r="P68" s="6">
        <v>43941</v>
      </c>
      <c r="Q68" s="5" t="s">
        <v>31</v>
      </c>
      <c r="R68" s="5" t="s">
        <v>32</v>
      </c>
      <c r="S68" s="5" t="s">
        <v>33</v>
      </c>
      <c r="T68" s="5"/>
      <c r="U68" s="5">
        <v>702</v>
      </c>
      <c r="V68" s="5">
        <v>302.7</v>
      </c>
      <c r="W68" s="5">
        <v>279.54000000000002</v>
      </c>
      <c r="X68" s="5">
        <v>0</v>
      </c>
      <c r="Y68" s="5">
        <v>119.76</v>
      </c>
    </row>
    <row r="69" spans="1:25" ht="24.75" x14ac:dyDescent="0.25">
      <c r="A69" s="5" t="s">
        <v>26</v>
      </c>
      <c r="B69" s="5" t="s">
        <v>34</v>
      </c>
      <c r="C69" s="5" t="s">
        <v>46</v>
      </c>
      <c r="D69" s="5" t="s">
        <v>59</v>
      </c>
      <c r="E69" s="5" t="s">
        <v>44</v>
      </c>
      <c r="F69" s="5" t="s">
        <v>137</v>
      </c>
      <c r="G69" s="5">
        <v>2019</v>
      </c>
      <c r="H69" s="5" t="str">
        <f>CONCATENATE("94240804644")</f>
        <v>94240804644</v>
      </c>
      <c r="I69" s="5" t="s">
        <v>29</v>
      </c>
      <c r="J69" s="5" t="s">
        <v>30</v>
      </c>
      <c r="K69" s="5" t="str">
        <f>CONCATENATE("")</f>
        <v/>
      </c>
      <c r="L69" s="5" t="str">
        <f>CONCATENATE("14 14.1 3a")</f>
        <v>14 14.1 3a</v>
      </c>
      <c r="M69" s="5" t="str">
        <f>CONCATENATE("00811080431")</f>
        <v>00811080431</v>
      </c>
      <c r="N69" s="5" t="s">
        <v>138</v>
      </c>
      <c r="O69" s="5" t="s">
        <v>98</v>
      </c>
      <c r="P69" s="6">
        <v>43941</v>
      </c>
      <c r="Q69" s="5" t="s">
        <v>31</v>
      </c>
      <c r="R69" s="5" t="s">
        <v>32</v>
      </c>
      <c r="S69" s="5" t="s">
        <v>33</v>
      </c>
      <c r="T69" s="5"/>
      <c r="U69" s="7">
        <v>4680</v>
      </c>
      <c r="V69" s="7">
        <v>2018.02</v>
      </c>
      <c r="W69" s="7">
        <v>1863.58</v>
      </c>
      <c r="X69" s="5">
        <v>0</v>
      </c>
      <c r="Y69" s="5">
        <v>798.4</v>
      </c>
    </row>
    <row r="70" spans="1:25" ht="24.75" x14ac:dyDescent="0.25">
      <c r="A70" s="5" t="s">
        <v>26</v>
      </c>
      <c r="B70" s="5" t="s">
        <v>34</v>
      </c>
      <c r="C70" s="5" t="s">
        <v>46</v>
      </c>
      <c r="D70" s="5" t="s">
        <v>54</v>
      </c>
      <c r="E70" s="5" t="s">
        <v>28</v>
      </c>
      <c r="F70" s="5" t="s">
        <v>28</v>
      </c>
      <c r="G70" s="5">
        <v>2018</v>
      </c>
      <c r="H70" s="5" t="str">
        <f>CONCATENATE("84240857528")</f>
        <v>84240857528</v>
      </c>
      <c r="I70" s="5" t="s">
        <v>29</v>
      </c>
      <c r="J70" s="5" t="s">
        <v>30</v>
      </c>
      <c r="K70" s="5" t="str">
        <f>CONCATENATE("")</f>
        <v/>
      </c>
      <c r="L70" s="5" t="str">
        <f>CONCATENATE("10 10.1 4b")</f>
        <v>10 10.1 4b</v>
      </c>
      <c r="M70" s="5" t="str">
        <f>CONCATENATE("CCRBRN50B09H321J")</f>
        <v>CCRBRN50B09H321J</v>
      </c>
      <c r="N70" s="5" t="s">
        <v>139</v>
      </c>
      <c r="O70" s="5" t="s">
        <v>88</v>
      </c>
      <c r="P70" s="6">
        <v>43941</v>
      </c>
      <c r="Q70" s="5" t="s">
        <v>31</v>
      </c>
      <c r="R70" s="5" t="s">
        <v>32</v>
      </c>
      <c r="S70" s="5" t="s">
        <v>33</v>
      </c>
      <c r="T70" s="5"/>
      <c r="U70" s="7">
        <v>4226.8</v>
      </c>
      <c r="V70" s="7">
        <v>1822.6</v>
      </c>
      <c r="W70" s="7">
        <v>1683.11</v>
      </c>
      <c r="X70" s="5">
        <v>0</v>
      </c>
      <c r="Y70" s="5">
        <v>721.09</v>
      </c>
    </row>
    <row r="71" spans="1:25" x14ac:dyDescent="0.25">
      <c r="A71" s="5" t="s">
        <v>26</v>
      </c>
      <c r="B71" s="5" t="s">
        <v>34</v>
      </c>
      <c r="C71" s="5" t="s">
        <v>46</v>
      </c>
      <c r="D71" s="5" t="s">
        <v>59</v>
      </c>
      <c r="E71" s="5" t="s">
        <v>39</v>
      </c>
      <c r="F71" s="5" t="s">
        <v>117</v>
      </c>
      <c r="G71" s="5">
        <v>2019</v>
      </c>
      <c r="H71" s="5" t="str">
        <f>CONCATENATE("94240728678")</f>
        <v>94240728678</v>
      </c>
      <c r="I71" s="5" t="s">
        <v>29</v>
      </c>
      <c r="J71" s="5" t="s">
        <v>30</v>
      </c>
      <c r="K71" s="5" t="str">
        <f>CONCATENATE("")</f>
        <v/>
      </c>
      <c r="L71" s="5" t="str">
        <f>CONCATENATE("14 14.1 3a")</f>
        <v>14 14.1 3a</v>
      </c>
      <c r="M71" s="5" t="str">
        <f>CONCATENATE("FDLCRN51E71I661Y")</f>
        <v>FDLCRN51E71I661Y</v>
      </c>
      <c r="N71" s="5" t="s">
        <v>140</v>
      </c>
      <c r="O71" s="5" t="s">
        <v>98</v>
      </c>
      <c r="P71" s="6">
        <v>43941</v>
      </c>
      <c r="Q71" s="5" t="s">
        <v>31</v>
      </c>
      <c r="R71" s="5" t="s">
        <v>32</v>
      </c>
      <c r="S71" s="5" t="s">
        <v>33</v>
      </c>
      <c r="T71" s="5"/>
      <c r="U71" s="7">
        <v>2204.46</v>
      </c>
      <c r="V71" s="5">
        <v>950.56</v>
      </c>
      <c r="W71" s="5">
        <v>877.82</v>
      </c>
      <c r="X71" s="5">
        <v>0</v>
      </c>
      <c r="Y71" s="5">
        <v>376.08</v>
      </c>
    </row>
    <row r="72" spans="1:25" x14ac:dyDescent="0.25">
      <c r="A72" s="5" t="s">
        <v>26</v>
      </c>
      <c r="B72" s="5" t="s">
        <v>34</v>
      </c>
      <c r="C72" s="5" t="s">
        <v>46</v>
      </c>
      <c r="D72" s="5" t="s">
        <v>59</v>
      </c>
      <c r="E72" s="5" t="s">
        <v>39</v>
      </c>
      <c r="F72" s="5" t="s">
        <v>117</v>
      </c>
      <c r="G72" s="5">
        <v>2019</v>
      </c>
      <c r="H72" s="5" t="str">
        <f>CONCATENATE("94240631476")</f>
        <v>94240631476</v>
      </c>
      <c r="I72" s="5" t="s">
        <v>29</v>
      </c>
      <c r="J72" s="5" t="s">
        <v>30</v>
      </c>
      <c r="K72" s="5" t="str">
        <f>CONCATENATE("")</f>
        <v/>
      </c>
      <c r="L72" s="5" t="str">
        <f>CONCATENATE("14 14.1 3a")</f>
        <v>14 14.1 3a</v>
      </c>
      <c r="M72" s="5" t="str">
        <f>CONCATENATE("01988740435")</f>
        <v>01988740435</v>
      </c>
      <c r="N72" s="5" t="s">
        <v>141</v>
      </c>
      <c r="O72" s="5" t="s">
        <v>98</v>
      </c>
      <c r="P72" s="6">
        <v>43941</v>
      </c>
      <c r="Q72" s="5" t="s">
        <v>31</v>
      </c>
      <c r="R72" s="5" t="s">
        <v>32</v>
      </c>
      <c r="S72" s="5" t="s">
        <v>33</v>
      </c>
      <c r="T72" s="5"/>
      <c r="U72" s="7">
        <v>31445</v>
      </c>
      <c r="V72" s="7">
        <v>13559.08</v>
      </c>
      <c r="W72" s="7">
        <v>12521.4</v>
      </c>
      <c r="X72" s="5">
        <v>0</v>
      </c>
      <c r="Y72" s="7">
        <v>5364.52</v>
      </c>
    </row>
    <row r="73" spans="1:25" x14ac:dyDescent="0.25">
      <c r="A73" s="5" t="s">
        <v>26</v>
      </c>
      <c r="B73" s="5" t="s">
        <v>34</v>
      </c>
      <c r="C73" s="5" t="s">
        <v>46</v>
      </c>
      <c r="D73" s="5" t="s">
        <v>59</v>
      </c>
      <c r="E73" s="5" t="s">
        <v>37</v>
      </c>
      <c r="F73" s="5" t="s">
        <v>99</v>
      </c>
      <c r="G73" s="5">
        <v>2019</v>
      </c>
      <c r="H73" s="5" t="str">
        <f>CONCATENATE("94240528508")</f>
        <v>94240528508</v>
      </c>
      <c r="I73" s="5" t="s">
        <v>29</v>
      </c>
      <c r="J73" s="5" t="s">
        <v>30</v>
      </c>
      <c r="K73" s="5" t="str">
        <f>CONCATENATE("")</f>
        <v/>
      </c>
      <c r="L73" s="5" t="str">
        <f>CONCATENATE("14 14.1 3a")</f>
        <v>14 14.1 3a</v>
      </c>
      <c r="M73" s="5" t="str">
        <f>CONCATENATE("CRFPPN66A10M078Z")</f>
        <v>CRFPPN66A10M078Z</v>
      </c>
      <c r="N73" s="5" t="s">
        <v>122</v>
      </c>
      <c r="O73" s="5" t="s">
        <v>98</v>
      </c>
      <c r="P73" s="6">
        <v>43941</v>
      </c>
      <c r="Q73" s="5" t="s">
        <v>31</v>
      </c>
      <c r="R73" s="5" t="s">
        <v>32</v>
      </c>
      <c r="S73" s="5" t="s">
        <v>33</v>
      </c>
      <c r="T73" s="5"/>
      <c r="U73" s="7">
        <v>18536</v>
      </c>
      <c r="V73" s="7">
        <v>7992.72</v>
      </c>
      <c r="W73" s="7">
        <v>7381.04</v>
      </c>
      <c r="X73" s="5">
        <v>0</v>
      </c>
      <c r="Y73" s="7">
        <v>3162.24</v>
      </c>
    </row>
    <row r="74" spans="1:25" x14ac:dyDescent="0.25">
      <c r="A74" s="5" t="s">
        <v>26</v>
      </c>
      <c r="B74" s="5" t="s">
        <v>34</v>
      </c>
      <c r="C74" s="5" t="s">
        <v>46</v>
      </c>
      <c r="D74" s="5" t="s">
        <v>59</v>
      </c>
      <c r="E74" s="5" t="s">
        <v>39</v>
      </c>
      <c r="F74" s="5" t="s">
        <v>117</v>
      </c>
      <c r="G74" s="5">
        <v>2019</v>
      </c>
      <c r="H74" s="5" t="str">
        <f>CONCATENATE("94240451446")</f>
        <v>94240451446</v>
      </c>
      <c r="I74" s="5" t="s">
        <v>29</v>
      </c>
      <c r="J74" s="5" t="s">
        <v>30</v>
      </c>
      <c r="K74" s="5" t="str">
        <f>CONCATENATE("")</f>
        <v/>
      </c>
      <c r="L74" s="5" t="str">
        <f>CONCATENATE("14 14.1 3a")</f>
        <v>14 14.1 3a</v>
      </c>
      <c r="M74" s="5" t="str">
        <f>CONCATENATE("VLRLNI75B15B474A")</f>
        <v>VLRLNI75B15B474A</v>
      </c>
      <c r="N74" s="5" t="s">
        <v>142</v>
      </c>
      <c r="O74" s="5" t="s">
        <v>98</v>
      </c>
      <c r="P74" s="6">
        <v>43941</v>
      </c>
      <c r="Q74" s="5" t="s">
        <v>31</v>
      </c>
      <c r="R74" s="5" t="s">
        <v>32</v>
      </c>
      <c r="S74" s="5" t="s">
        <v>33</v>
      </c>
      <c r="T74" s="5"/>
      <c r="U74" s="7">
        <v>25728.63</v>
      </c>
      <c r="V74" s="7">
        <v>11094.19</v>
      </c>
      <c r="W74" s="7">
        <v>10245.14</v>
      </c>
      <c r="X74" s="5">
        <v>0</v>
      </c>
      <c r="Y74" s="7">
        <v>4389.3</v>
      </c>
    </row>
    <row r="75" spans="1:25" x14ac:dyDescent="0.25">
      <c r="A75" s="5" t="s">
        <v>26</v>
      </c>
      <c r="B75" s="5" t="s">
        <v>34</v>
      </c>
      <c r="C75" s="5" t="s">
        <v>46</v>
      </c>
      <c r="D75" s="5" t="s">
        <v>59</v>
      </c>
      <c r="E75" s="5" t="s">
        <v>39</v>
      </c>
      <c r="F75" s="5" t="s">
        <v>117</v>
      </c>
      <c r="G75" s="5">
        <v>2019</v>
      </c>
      <c r="H75" s="5" t="str">
        <f>CONCATENATE("94240175433")</f>
        <v>94240175433</v>
      </c>
      <c r="I75" s="5" t="s">
        <v>29</v>
      </c>
      <c r="J75" s="5" t="s">
        <v>30</v>
      </c>
      <c r="K75" s="5" t="str">
        <f>CONCATENATE("")</f>
        <v/>
      </c>
      <c r="L75" s="5" t="str">
        <f>CONCATENATE("14 14.1 3a")</f>
        <v>14 14.1 3a</v>
      </c>
      <c r="M75" s="5" t="str">
        <f>CONCATENATE("STRPLA73L17B474W")</f>
        <v>STRPLA73L17B474W</v>
      </c>
      <c r="N75" s="5" t="s">
        <v>143</v>
      </c>
      <c r="O75" s="5" t="s">
        <v>98</v>
      </c>
      <c r="P75" s="6">
        <v>43941</v>
      </c>
      <c r="Q75" s="5" t="s">
        <v>31</v>
      </c>
      <c r="R75" s="5" t="s">
        <v>32</v>
      </c>
      <c r="S75" s="5" t="s">
        <v>33</v>
      </c>
      <c r="T75" s="5"/>
      <c r="U75" s="7">
        <v>2287.62</v>
      </c>
      <c r="V75" s="5">
        <v>986.42</v>
      </c>
      <c r="W75" s="5">
        <v>910.93</v>
      </c>
      <c r="X75" s="5">
        <v>0</v>
      </c>
      <c r="Y75" s="5">
        <v>390.27</v>
      </c>
    </row>
    <row r="76" spans="1:25" ht="24.75" x14ac:dyDescent="0.25">
      <c r="A76" s="5" t="s">
        <v>26</v>
      </c>
      <c r="B76" s="5" t="s">
        <v>34</v>
      </c>
      <c r="C76" s="5" t="s">
        <v>46</v>
      </c>
      <c r="D76" s="5" t="s">
        <v>59</v>
      </c>
      <c r="E76" s="5" t="s">
        <v>39</v>
      </c>
      <c r="F76" s="5" t="s">
        <v>117</v>
      </c>
      <c r="G76" s="5">
        <v>2019</v>
      </c>
      <c r="H76" s="5" t="str">
        <f>CONCATENATE("94240540644")</f>
        <v>94240540644</v>
      </c>
      <c r="I76" s="5" t="s">
        <v>29</v>
      </c>
      <c r="J76" s="5" t="s">
        <v>30</v>
      </c>
      <c r="K76" s="5" t="str">
        <f>CONCATENATE("")</f>
        <v/>
      </c>
      <c r="L76" s="5" t="str">
        <f>CONCATENATE("14 14.1 3a")</f>
        <v>14 14.1 3a</v>
      </c>
      <c r="M76" s="5" t="str">
        <f>CONCATENATE("01141480432")</f>
        <v>01141480432</v>
      </c>
      <c r="N76" s="5" t="s">
        <v>144</v>
      </c>
      <c r="O76" s="5" t="s">
        <v>98</v>
      </c>
      <c r="P76" s="6">
        <v>43941</v>
      </c>
      <c r="Q76" s="5" t="s">
        <v>31</v>
      </c>
      <c r="R76" s="5" t="s">
        <v>32</v>
      </c>
      <c r="S76" s="5" t="s">
        <v>33</v>
      </c>
      <c r="T76" s="5"/>
      <c r="U76" s="7">
        <v>2565</v>
      </c>
      <c r="V76" s="7">
        <v>1106.03</v>
      </c>
      <c r="W76" s="7">
        <v>1021.38</v>
      </c>
      <c r="X76" s="5">
        <v>0</v>
      </c>
      <c r="Y76" s="5">
        <v>437.59</v>
      </c>
    </row>
    <row r="77" spans="1:25" x14ac:dyDescent="0.25">
      <c r="A77" s="5" t="s">
        <v>26</v>
      </c>
      <c r="B77" s="5" t="s">
        <v>34</v>
      </c>
      <c r="C77" s="5" t="s">
        <v>46</v>
      </c>
      <c r="D77" s="5" t="s">
        <v>59</v>
      </c>
      <c r="E77" s="5" t="s">
        <v>39</v>
      </c>
      <c r="F77" s="5" t="s">
        <v>120</v>
      </c>
      <c r="G77" s="5">
        <v>2019</v>
      </c>
      <c r="H77" s="5" t="str">
        <f>CONCATENATE("94240713639")</f>
        <v>94240713639</v>
      </c>
      <c r="I77" s="5" t="s">
        <v>29</v>
      </c>
      <c r="J77" s="5" t="s">
        <v>30</v>
      </c>
      <c r="K77" s="5" t="str">
        <f>CONCATENATE("")</f>
        <v/>
      </c>
      <c r="L77" s="5" t="str">
        <f>CONCATENATE("14 14.1 3a")</f>
        <v>14 14.1 3a</v>
      </c>
      <c r="M77" s="5" t="str">
        <f>CONCATENATE("FTTLSU42L54I436X")</f>
        <v>FTTLSU42L54I436X</v>
      </c>
      <c r="N77" s="5" t="s">
        <v>145</v>
      </c>
      <c r="O77" s="5" t="s">
        <v>98</v>
      </c>
      <c r="P77" s="6">
        <v>43941</v>
      </c>
      <c r="Q77" s="5" t="s">
        <v>31</v>
      </c>
      <c r="R77" s="5" t="s">
        <v>32</v>
      </c>
      <c r="S77" s="5" t="s">
        <v>33</v>
      </c>
      <c r="T77" s="5"/>
      <c r="U77" s="5">
        <v>883.77</v>
      </c>
      <c r="V77" s="5">
        <v>381.08</v>
      </c>
      <c r="W77" s="5">
        <v>351.92</v>
      </c>
      <c r="X77" s="5">
        <v>0</v>
      </c>
      <c r="Y77" s="5">
        <v>150.77000000000001</v>
      </c>
    </row>
    <row r="78" spans="1:25" x14ac:dyDescent="0.25">
      <c r="A78" s="5" t="s">
        <v>26</v>
      </c>
      <c r="B78" s="5" t="s">
        <v>34</v>
      </c>
      <c r="C78" s="5" t="s">
        <v>46</v>
      </c>
      <c r="D78" s="5" t="s">
        <v>59</v>
      </c>
      <c r="E78" s="5" t="s">
        <v>37</v>
      </c>
      <c r="F78" s="5" t="s">
        <v>99</v>
      </c>
      <c r="G78" s="5">
        <v>2019</v>
      </c>
      <c r="H78" s="5" t="str">
        <f>CONCATENATE("94240599145")</f>
        <v>94240599145</v>
      </c>
      <c r="I78" s="5" t="s">
        <v>29</v>
      </c>
      <c r="J78" s="5" t="s">
        <v>30</v>
      </c>
      <c r="K78" s="5" t="str">
        <f>CONCATENATE("")</f>
        <v/>
      </c>
      <c r="L78" s="5" t="str">
        <f>CONCATENATE("14 14.1 3a")</f>
        <v>14 14.1 3a</v>
      </c>
      <c r="M78" s="5" t="str">
        <f>CONCATENATE("SBSDMN91B16I156V")</f>
        <v>SBSDMN91B16I156V</v>
      </c>
      <c r="N78" s="5" t="s">
        <v>146</v>
      </c>
      <c r="O78" s="5" t="s">
        <v>98</v>
      </c>
      <c r="P78" s="6">
        <v>43941</v>
      </c>
      <c r="Q78" s="5" t="s">
        <v>31</v>
      </c>
      <c r="R78" s="5" t="s">
        <v>32</v>
      </c>
      <c r="S78" s="5" t="s">
        <v>33</v>
      </c>
      <c r="T78" s="5"/>
      <c r="U78" s="7">
        <v>5958</v>
      </c>
      <c r="V78" s="7">
        <v>2569.09</v>
      </c>
      <c r="W78" s="7">
        <v>2372.48</v>
      </c>
      <c r="X78" s="5">
        <v>0</v>
      </c>
      <c r="Y78" s="7">
        <v>1016.43</v>
      </c>
    </row>
    <row r="79" spans="1:25" ht="24.75" x14ac:dyDescent="0.25">
      <c r="A79" s="5" t="s">
        <v>26</v>
      </c>
      <c r="B79" s="5" t="s">
        <v>34</v>
      </c>
      <c r="C79" s="5" t="s">
        <v>46</v>
      </c>
      <c r="D79" s="5" t="s">
        <v>54</v>
      </c>
      <c r="E79" s="5" t="s">
        <v>44</v>
      </c>
      <c r="F79" s="5" t="s">
        <v>147</v>
      </c>
      <c r="G79" s="5">
        <v>2019</v>
      </c>
      <c r="H79" s="5" t="str">
        <f>CONCATENATE("94770005125")</f>
        <v>94770005125</v>
      </c>
      <c r="I79" s="5" t="s">
        <v>41</v>
      </c>
      <c r="J79" s="5" t="s">
        <v>36</v>
      </c>
      <c r="K79" s="5" t="str">
        <f>CONCATENATE("214")</f>
        <v>214</v>
      </c>
      <c r="L79" s="5" t="str">
        <f>CONCATENATE("11 11.2 4b")</f>
        <v>11 11.2 4b</v>
      </c>
      <c r="M79" s="5" t="str">
        <f>CONCATENATE("FLCLSN67M58D548M")</f>
        <v>FLCLSN67M58D548M</v>
      </c>
      <c r="N79" s="5" t="s">
        <v>148</v>
      </c>
      <c r="O79" s="5" t="s">
        <v>127</v>
      </c>
      <c r="P79" s="6">
        <v>43941</v>
      </c>
      <c r="Q79" s="5" t="s">
        <v>31</v>
      </c>
      <c r="R79" s="5" t="s">
        <v>32</v>
      </c>
      <c r="S79" s="5" t="s">
        <v>33</v>
      </c>
      <c r="T79" s="5"/>
      <c r="U79" s="5">
        <v>18.27</v>
      </c>
      <c r="V79" s="5">
        <v>7.88</v>
      </c>
      <c r="W79" s="5">
        <v>7.28</v>
      </c>
      <c r="X79" s="5">
        <v>0</v>
      </c>
      <c r="Y79" s="5">
        <v>3.11</v>
      </c>
    </row>
    <row r="80" spans="1:25" ht="24.75" x14ac:dyDescent="0.25">
      <c r="A80" s="5" t="s">
        <v>26</v>
      </c>
      <c r="B80" s="5" t="s">
        <v>34</v>
      </c>
      <c r="C80" s="5" t="s">
        <v>46</v>
      </c>
      <c r="D80" s="5" t="s">
        <v>54</v>
      </c>
      <c r="E80" s="5" t="s">
        <v>45</v>
      </c>
      <c r="F80" s="5" t="s">
        <v>149</v>
      </c>
      <c r="G80" s="5">
        <v>2019</v>
      </c>
      <c r="H80" s="5" t="str">
        <f>CONCATENATE("94770002650")</f>
        <v>94770002650</v>
      </c>
      <c r="I80" s="5" t="s">
        <v>41</v>
      </c>
      <c r="J80" s="5" t="s">
        <v>36</v>
      </c>
      <c r="K80" s="5" t="str">
        <f>CONCATENATE("214")</f>
        <v>214</v>
      </c>
      <c r="L80" s="5" t="str">
        <f>CONCATENATE("11 11.1 4b")</f>
        <v>11 11.1 4b</v>
      </c>
      <c r="M80" s="5" t="str">
        <f>CONCATENATE("LFNLSN49P21C321V")</f>
        <v>LFNLSN49P21C321V</v>
      </c>
      <c r="N80" s="5" t="s">
        <v>150</v>
      </c>
      <c r="O80" s="5" t="s">
        <v>127</v>
      </c>
      <c r="P80" s="6">
        <v>43941</v>
      </c>
      <c r="Q80" s="5" t="s">
        <v>31</v>
      </c>
      <c r="R80" s="5" t="s">
        <v>32</v>
      </c>
      <c r="S80" s="5" t="s">
        <v>33</v>
      </c>
      <c r="T80" s="5"/>
      <c r="U80" s="5">
        <v>61.47</v>
      </c>
      <c r="V80" s="5">
        <v>26.51</v>
      </c>
      <c r="W80" s="5">
        <v>24.48</v>
      </c>
      <c r="X80" s="5">
        <v>0</v>
      </c>
      <c r="Y80" s="5">
        <v>10.48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2020-04-24T09:22:28Z</dcterms:created>
  <dcterms:modified xsi:type="dcterms:W3CDTF">2020-04-24T09:24:56Z</dcterms:modified>
</cp:coreProperties>
</file>