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56\"/>
    </mc:Choice>
  </mc:AlternateContent>
  <xr:revisionPtr revIDLastSave="0" documentId="8_{7439C68C-EAA3-4874-B8E0-FEE12AAF113A}" xr6:coauthVersionLast="45" xr6:coauthVersionMax="45" xr10:uidLastSave="{00000000-0000-0000-0000-000000000000}"/>
  <bookViews>
    <workbookView xWindow="-120" yWindow="-120" windowWidth="20730" windowHeight="11160" xr2:uid="{6954172B-8398-46B9-905F-209EF7D22AE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2" i="1" l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<sst xmlns="http://schemas.openxmlformats.org/spreadsheetml/2006/main" count="4433" uniqueCount="442">
  <si>
    <t>Dettaglio Domande Pagabili Decreto 356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</si>
  <si>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</si>
  <si>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</si>
  <si>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</si>
  <si>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</si>
  <si>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</si>
  <si>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</si>
  <si>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</si>
  <si>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</si>
  <si>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</si>
  <si>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</si>
  <si>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</si>
  <si>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</si>
  <si>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</si>
  <si>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</si>
  <si>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</si>
  <si>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</si>
  <si>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</si>
  <si>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</si>
  <si>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</si>
  <si>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</si>
  <si>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</si>
  <si>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</si>
  <si>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</si>
  <si>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</si>
  <si>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</si>
  <si>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</si>
  <si>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</si>
  <si>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</si>
  <si>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</si>
  <si>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Trascinamenti</t>
  </si>
  <si>
    <t>In Liquidazione</t>
  </si>
  <si>
    <t>Saldo</t>
  </si>
  <si>
    <t>Co-Finanziato</t>
  </si>
  <si>
    <t>Misure Strutturali</t>
  </si>
  <si>
    <t>CAA Coldiretti srl</t>
  </si>
  <si>
    <t>Nuova Programmazione</t>
  </si>
  <si>
    <t>CAA UNICAA srl</t>
  </si>
  <si>
    <t>CAA Confagricoltura srl</t>
  </si>
  <si>
    <t>IN PROPRIO</t>
  </si>
  <si>
    <t>CAA LiberiAgricoltori srl già CAA AGCI srl</t>
  </si>
  <si>
    <t>SAL</t>
  </si>
  <si>
    <t>CAA-CAF AGRI S.R.L.</t>
  </si>
  <si>
    <t>SI</t>
  </si>
  <si>
    <t>Anticipo</t>
  </si>
  <si>
    <t>CAA AGRISERVIZI s.r.l.</t>
  </si>
  <si>
    <t>CAA Liberi Professionisti srl</t>
  </si>
  <si>
    <t>MARCHE</t>
  </si>
  <si>
    <t>SERV. DEC. AGRICOLTURA E ALIMENTAZIONE - ANCONA</t>
  </si>
  <si>
    <t>CAA Coldiretti - ANCONA - 006</t>
  </si>
  <si>
    <t>SCHIAVONI AMABILIA</t>
  </si>
  <si>
    <t>AGEA.ASR.2019.0990462</t>
  </si>
  <si>
    <t>SERV. DEC. AGRICOLTURA E ALIMENTAZIONE - PESARO</t>
  </si>
  <si>
    <t>CAA Coldiretti - PESARO E URBINO - 010</t>
  </si>
  <si>
    <t>PAOLONI GIANFRANCO</t>
  </si>
  <si>
    <t>AGEA.ASR.2020.0272763</t>
  </si>
  <si>
    <t>CAA Coldiretti - PESARO E URBINO - 013</t>
  </si>
  <si>
    <t>VEDDOVI ENZO</t>
  </si>
  <si>
    <t>CAA Confagricoltura - ANCONA - 001</t>
  </si>
  <si>
    <t>FERRATO MICHELE</t>
  </si>
  <si>
    <t>CAA CIA - PESARO E URBINO - 002</t>
  </si>
  <si>
    <t>SOCIETA' AGRICOLA MINUTELLI S.S. DI BARBIERI MASSIMO &amp; C.</t>
  </si>
  <si>
    <t>CAA LiberiAgricoltori - PESARO E URBINO - 002</t>
  </si>
  <si>
    <t>CALIENDI ENRICO</t>
  </si>
  <si>
    <t>CAA LiberiAgricoltori - PESARO E URBINO - 001</t>
  </si>
  <si>
    <t>SOCIETA AGRICOLA L OLMO S.S.</t>
  </si>
  <si>
    <t>CAA Coldiretti - PESARO E URBINO - 004</t>
  </si>
  <si>
    <t>SOCIETA' AGRICOLA TERRA E SAPORI DI BALDACCIONI ROMINA E RAIMONDO S.S.</t>
  </si>
  <si>
    <t>FERRI ALESSANDRO E DAMIANI ANNA SOCIETA' SEMPLICE</t>
  </si>
  <si>
    <t>RUGOLETTI CARLA</t>
  </si>
  <si>
    <t>CAA Coldiretti - PESARO E URBINO - 008</t>
  </si>
  <si>
    <t>PIETROBELLI FEDERICO</t>
  </si>
  <si>
    <t>GIOVANNELLI FRANCESCO</t>
  </si>
  <si>
    <t>CAA CAF AGRI - PESARO E URBINO - 221</t>
  </si>
  <si>
    <t>CANCELLIERI ANDREA</t>
  </si>
  <si>
    <t>CAA CIA - ANCONA - 005</t>
  </si>
  <si>
    <t>J.P. S.R.L.</t>
  </si>
  <si>
    <t>CAA CIA - PESARO E URBINO - 003</t>
  </si>
  <si>
    <t>TIEDJE KIRSTEN</t>
  </si>
  <si>
    <t>CAA CIA - PESARO E URBINO - 007</t>
  </si>
  <si>
    <t>GENTILINI SOCIETA' AGRICOLA DI GENTILINI CESARINO, DANIELA E LUCIA S.S</t>
  </si>
  <si>
    <t>CAA Confagricoltura - PESARO E URBINO - 001</t>
  </si>
  <si>
    <t>BODINI MARGHERITA</t>
  </si>
  <si>
    <t>SALTARELLI MARCELLO</t>
  </si>
  <si>
    <t>COLOCCINI PINA</t>
  </si>
  <si>
    <t>CAA Coldiretti - ANCONA - 002</t>
  </si>
  <si>
    <t>POCOGNOLI REMIGIO</t>
  </si>
  <si>
    <t>ROMITI JONATHAN</t>
  </si>
  <si>
    <t>CAA CAF AGRI - PESARO E URBINO - 222</t>
  </si>
  <si>
    <t>SOCIETA' AGRICOLA MASCIOLI MIRCO E ROBERTO S.S.</t>
  </si>
  <si>
    <t>CAPRARA PATRIZIA</t>
  </si>
  <si>
    <t>CAA Coldiretti - PESARO E URBINO - 001</t>
  </si>
  <si>
    <t>COLUMBU TIZIANO</t>
  </si>
  <si>
    <t>CAA Liberi Prof.- PESARO E URBINO - 001</t>
  </si>
  <si>
    <t>SOCIETA' AGRICOLA PODERE L'INFINITO SOCIETA' SEMPLICE</t>
  </si>
  <si>
    <t>CESARETTI GABRIELLA</t>
  </si>
  <si>
    <t>LARGHETTI ANTONIO</t>
  </si>
  <si>
    <t>MATTEI SIMONE</t>
  </si>
  <si>
    <t>CAA CIA - PESARO E URBINO - 008</t>
  </si>
  <si>
    <t>ARCANGELI ELENA</t>
  </si>
  <si>
    <t>CALLI LUCIANA</t>
  </si>
  <si>
    <t>PASQUINI ANNUNZIATA</t>
  </si>
  <si>
    <t>SERV. DEC. AGRICOLTURA E ALIM. -ASCOLI PICENO</t>
  </si>
  <si>
    <t>CAA Coldiretti - ASCOLI PICENO - 040</t>
  </si>
  <si>
    <t>FERRACUTI DOMENICO</t>
  </si>
  <si>
    <t>SILVESTRI TOMMASO</t>
  </si>
  <si>
    <t>DE MARCHI LUCIANA</t>
  </si>
  <si>
    <t>SOCIETA' AGRICOLA BIOLOGICA FILENI SRL</t>
  </si>
  <si>
    <t>CAA Coldiretti - AREZZO - 008</t>
  </si>
  <si>
    <t>LA FONTE SOCIETA' AGRICOLA S.S.</t>
  </si>
  <si>
    <t>CAA CIA - ANCONA - 002</t>
  </si>
  <si>
    <t>TEODORI FRANCESCO</t>
  </si>
  <si>
    <t>CAA Coldiretti - ASCOLI PICENO - 010</t>
  </si>
  <si>
    <t>MAROZZI MARIO</t>
  </si>
  <si>
    <t>VEDOVI CLAUDIO</t>
  </si>
  <si>
    <t>CARNAROLI PAOLO</t>
  </si>
  <si>
    <t>CAA UNICAA - ASCOLI PICENO - 004</t>
  </si>
  <si>
    <t>FAUSTI ELISA</t>
  </si>
  <si>
    <t>CAA Coldiretti - PESARO E URBINO - 007</t>
  </si>
  <si>
    <t>PACI GIUSEPPE</t>
  </si>
  <si>
    <t>DAMIANI MASSIMO</t>
  </si>
  <si>
    <t>SOCIETA' AGRICOLA NOBILI LUIGI S.S.</t>
  </si>
  <si>
    <t>CAVALLERI ALBERTO</t>
  </si>
  <si>
    <t>CIAPPELLONI ASSUNTA</t>
  </si>
  <si>
    <t>CAPOTONDI MARIA ANTONIETTA</t>
  </si>
  <si>
    <t>DE ANGELIS PIETRO</t>
  </si>
  <si>
    <t>MENSA' PATRIZIO</t>
  </si>
  <si>
    <t>CONTI ANGELA</t>
  </si>
  <si>
    <t>PACCHETTI MATTIA</t>
  </si>
  <si>
    <t>DURO FRANCA</t>
  </si>
  <si>
    <t>MARONCELLI FRANCO</t>
  </si>
  <si>
    <t>BRUSCOLI NADIA</t>
  </si>
  <si>
    <t>CAA CIA - PESARO E URBINO - 005</t>
  </si>
  <si>
    <t>GUATIERI CHRISTIAN</t>
  </si>
  <si>
    <t>SOCIETA' AGRICOLA AZIENDE BIOLOGICHE RIUNITE MARCHE S.S.</t>
  </si>
  <si>
    <t>AMABILI GINO</t>
  </si>
  <si>
    <t>SOCIETA' AGRICOLA VALDITEVA S.S.</t>
  </si>
  <si>
    <t>UGOLINI CLAUDIO</t>
  </si>
  <si>
    <t>GAMBINI GABRIELE</t>
  </si>
  <si>
    <t>CAA UNICAA - ANCONA - 003</t>
  </si>
  <si>
    <t>SOCIETA' AGRICOLA EREDI PANDOLFI DOMENICO S.S.</t>
  </si>
  <si>
    <t>CAA CAF AGRI - FERMO - 221</t>
  </si>
  <si>
    <t>BELLEGGIA MARISA</t>
  </si>
  <si>
    <t>CIACCI ALESSANDRO</t>
  </si>
  <si>
    <t>CALISTI GIAN CARLO</t>
  </si>
  <si>
    <t>CAA Coldiretti - PESARO E URBINO - 006</t>
  </si>
  <si>
    <t>SECCHIAROLI MARIA TERESA</t>
  </si>
  <si>
    <t>MADONINI VALERIA MARIA ALESSANDRA</t>
  </si>
  <si>
    <t>FARNETI LUIGI</t>
  </si>
  <si>
    <t>BELLAGAMBA FILIPPO</t>
  </si>
  <si>
    <t>CAA Coldiretti - ANCONA - 003</t>
  </si>
  <si>
    <t>SOCIETA' AGRICOLA IL CANTO DEL GALLO DI DEMETRIO RUFFINI E C. SOCIETA'</t>
  </si>
  <si>
    <t>CAA UNICAA - PESARO E URBINO - 003</t>
  </si>
  <si>
    <t>SPADONI MAURIZIO &amp; FLAVIO S.S.</t>
  </si>
  <si>
    <t>CAA Coldiretti - ANCONA - 005</t>
  </si>
  <si>
    <t>MONNATI DANIELA</t>
  </si>
  <si>
    <t>CAA Confagricoltura - ASCOLI PICENO - 001</t>
  </si>
  <si>
    <t>TALAMONTI GIUSEPPINA</t>
  </si>
  <si>
    <t>AGEA.ASR.2020.0285118</t>
  </si>
  <si>
    <t>CAA CIA - ASCOLI PICENO - 005</t>
  </si>
  <si>
    <t>BERNETTI AURELIO E PISTARELLI MARIA</t>
  </si>
  <si>
    <t>VELENOSI SOCIETA' A RESPONSABILITA' LIMITATA PER BREVITA' VELENOSI S.R</t>
  </si>
  <si>
    <t>MONTEBELLI ELIO</t>
  </si>
  <si>
    <t>AGEA.ASR.2020.0284221</t>
  </si>
  <si>
    <t>SERV. DEC. AGRICOLTURA E ALIM. - MACERATA</t>
  </si>
  <si>
    <t>CAA LiberiAgricoltori - MACERATA - 001</t>
  </si>
  <si>
    <t>SANTOLINI LORETTA</t>
  </si>
  <si>
    <t>CAA AIC Veneto</t>
  </si>
  <si>
    <t>CAA AIC Veneto - VICENZA - 001</t>
  </si>
  <si>
    <t>SOCIETA' AGRICOLA F.LLI CORVEZZO S.R.L.</t>
  </si>
  <si>
    <t>PANICHI MICHELE</t>
  </si>
  <si>
    <t>SOC.AGR. F.LLI SANTI S.S.</t>
  </si>
  <si>
    <t>AGEA.ASR.2020.0286952</t>
  </si>
  <si>
    <t>PINNOLA CESARE</t>
  </si>
  <si>
    <t>AGEA.ASR.2020.0284076</t>
  </si>
  <si>
    <t>BERARDI GIANCARLO</t>
  </si>
  <si>
    <t>CAA Coldiretti - MACERATA - 008</t>
  </si>
  <si>
    <t>ANGELONI PAOLO</t>
  </si>
  <si>
    <t>AGEA.ASR.2020.0289874</t>
  </si>
  <si>
    <t>BACCHIOCCHI MAICOL</t>
  </si>
  <si>
    <t>JANSTA SVATOPLUK</t>
  </si>
  <si>
    <t>SOCIETA AGRICOLA BLASI RICCARDO E ROBERTO SS</t>
  </si>
  <si>
    <t>CARBONI DONNINO</t>
  </si>
  <si>
    <t>SOCIETA' AGRICOLA MOROBIANCO SOCIETA' A RESPONSABILITA' LIMITATA IN SI</t>
  </si>
  <si>
    <t>TRAINI FRANCESCO</t>
  </si>
  <si>
    <t>TABACCHI ANTONELLA</t>
  </si>
  <si>
    <t>GELMI MARA</t>
  </si>
  <si>
    <t>PIERIGE' ALAIN</t>
  </si>
  <si>
    <t>GIORGI STEFANO</t>
  </si>
  <si>
    <t>LAURI MARIO</t>
  </si>
  <si>
    <t>BOCCHINI ROBERTA</t>
  </si>
  <si>
    <t>SOCIETA' COOPERATIVA AGRICOLA MODERNA</t>
  </si>
  <si>
    <t>CAA Coldiretti - ASCOLI PICENO - 030</t>
  </si>
  <si>
    <t>SOCIATA' AGRICOLA ALEANDRI PAOLA &amp; TIZIANO SOCIETA' SEMPLICE</t>
  </si>
  <si>
    <t>SOCIETA' AGRICOLA RAIKA BIO S.S.</t>
  </si>
  <si>
    <t>CAA Coldiretti - FERMO - 001</t>
  </si>
  <si>
    <t>ILLUMINATI DANIELA</t>
  </si>
  <si>
    <t>CAA Coldiretti - ASCOLI PICENO - 025</t>
  </si>
  <si>
    <t>SOCIETA' AGRICOLA ORTO FELICE DI CICCALE' SARA &amp; DE PAOLIS CLAUDIO SOC</t>
  </si>
  <si>
    <t>CAA CAF AGRI - ASCOLI PICENO - 222</t>
  </si>
  <si>
    <t>CACCHIARELLI TERESA</t>
  </si>
  <si>
    <t>CAA AGRISERVIZI - LATINA - 001</t>
  </si>
  <si>
    <t>POGGI DANTE</t>
  </si>
  <si>
    <t>LA MARCA NELLE MARCHE SOCIETA' SEMPLICE AGRICOLA</t>
  </si>
  <si>
    <t>IL SENTIERO DI SPACCAPANICCIA FABIO E GUIDO SOCIETA' AGRICOLA SEMPLICE</t>
  </si>
  <si>
    <t>CAA Coldiretti - MACERATA - 007</t>
  </si>
  <si>
    <t>NERI ROBERTO</t>
  </si>
  <si>
    <t>D'ANDREA ELISEO E CIOTTI ANTONIETTA SOC. SEMPLICE</t>
  </si>
  <si>
    <t>GIORGETTI GIOVANNELLA</t>
  </si>
  <si>
    <t>TAURUS S. S. AGRICOLA DI CAPITANI E. &amp; C</t>
  </si>
  <si>
    <t>VAGNONI MARIO</t>
  </si>
  <si>
    <t>DE ANGELIS ENRICO</t>
  </si>
  <si>
    <t>MIGIANI AGOSTINO</t>
  </si>
  <si>
    <t>CAA UNICAA - MACERATA - 002</t>
  </si>
  <si>
    <t>MIZIOLI DANIELE E C. SOCIETA'AGRICOLA</t>
  </si>
  <si>
    <t>SANTINELLI DAVIDE</t>
  </si>
  <si>
    <t>ROSSI GIOVANNI ALFREDO</t>
  </si>
  <si>
    <t>SCUPPA MARIANO</t>
  </si>
  <si>
    <t>PIERUCCI SANTE</t>
  </si>
  <si>
    <t>SALTARELLI RAFFAELE</t>
  </si>
  <si>
    <t>MONTEBELLO COOPERATIVA AGROBIOLOGICA</t>
  </si>
  <si>
    <t>CAA CAF AGRI - ANCONA - 228</t>
  </si>
  <si>
    <t>MULATTIERI MELISSA</t>
  </si>
  <si>
    <t>NUCCI TIZIANO</t>
  </si>
  <si>
    <t>CAA Coldiretti - MACERATA - 017</t>
  </si>
  <si>
    <t>PIERMATTEI ANDREA</t>
  </si>
  <si>
    <t>RAGNI GIACOMO</t>
  </si>
  <si>
    <t>CAA LiberiAgricoltori - MACERATA - 002</t>
  </si>
  <si>
    <t>RICCIONI FRANCESCO</t>
  </si>
  <si>
    <t>SOCIETA' AGRICOLA LA VALLE S.S.</t>
  </si>
  <si>
    <t>SOCIETA' AGRICOLA F.LLI CORAZZINI S.S.</t>
  </si>
  <si>
    <t>TISBA PIERINO</t>
  </si>
  <si>
    <t>CUTINI GIUSEPPE</t>
  </si>
  <si>
    <t>CAA CIA - ASCOLI PICENO - 004</t>
  </si>
  <si>
    <t>NAPOLEONI LUISELLA</t>
  </si>
  <si>
    <t>SPADONI ROBERTINO</t>
  </si>
  <si>
    <t>IL GIARDINO S.S. - SOCIETA' AGRICOLA</t>
  </si>
  <si>
    <t>AGABITI NICOLO'</t>
  </si>
  <si>
    <t>BRINCIVALLI RENZO</t>
  </si>
  <si>
    <t>CAA Coldiretti - ANCONA - 008</t>
  </si>
  <si>
    <t>CARDELLI FLAUDIA</t>
  </si>
  <si>
    <t>AGEA.ASR.2020.0278139</t>
  </si>
  <si>
    <t>OLIVIERI FABIO</t>
  </si>
  <si>
    <t>SOCIETA' AGRICOLA ELISAPETTA</t>
  </si>
  <si>
    <t>FATTORINI PAOLA</t>
  </si>
  <si>
    <t>SOCIETA' AGRICOLA IL RITORNO DI CLEMENTI MIRCO E FEDERICO S.S.</t>
  </si>
  <si>
    <t>PICCINI SILVANO</t>
  </si>
  <si>
    <t>CAA CAF AGRI - MACERATA - 224</t>
  </si>
  <si>
    <t>AZIENDA AGRICOLA CAMPOGIANO S.A.S. DI RICOTTA LORENZO E C.</t>
  </si>
  <si>
    <t>CAA Coldiretti - MACERATA - 018</t>
  </si>
  <si>
    <t>ACCIARRESI IVANA</t>
  </si>
  <si>
    <t>AGEA.ASR.2020.0296063</t>
  </si>
  <si>
    <t>RICOTTA MARIO</t>
  </si>
  <si>
    <t>RAMADORI MARIO</t>
  </si>
  <si>
    <t>AMICI PIER LUIGI E AMICI DANIELE SOC. SEMPLICE</t>
  </si>
  <si>
    <t>ANIBALLI FRANCO</t>
  </si>
  <si>
    <t>BELPASSI MAURIZIO</t>
  </si>
  <si>
    <t>BELLUCCI SILVANA</t>
  </si>
  <si>
    <t>CAA CIA - PESARO E URBINO - 001</t>
  </si>
  <si>
    <t>MACCIARONI CORRADO</t>
  </si>
  <si>
    <t>MARIOTTI ELVIO</t>
  </si>
  <si>
    <t>MANDRELLI CHIARA</t>
  </si>
  <si>
    <t>BERARDI FABRIZIO</t>
  </si>
  <si>
    <t>ARPINI CHIARA</t>
  </si>
  <si>
    <t>DIOTALEVI ANTONIO</t>
  </si>
  <si>
    <t>AZ.AGR CAU &amp; SPADA DI SPADA ANTONINO E C SOC AGR</t>
  </si>
  <si>
    <t>BEFERA CLAUDIO</t>
  </si>
  <si>
    <t>BERTI GILBERTA</t>
  </si>
  <si>
    <t>CORNELI GINA</t>
  </si>
  <si>
    <t>FABBRI NAZZARENO</t>
  </si>
  <si>
    <t>CAA CAF AGRI - ANCONA - 225</t>
  </si>
  <si>
    <t>FERRETTI ARCANGELO</t>
  </si>
  <si>
    <t>GENTILINI MARCO</t>
  </si>
  <si>
    <t>GIOVANNINI ILEANA</t>
  </si>
  <si>
    <t>MARIOTTI SERENA</t>
  </si>
  <si>
    <t>MERLONI MARIA PAOLA</t>
  </si>
  <si>
    <t>ELISEI VANDA</t>
  </si>
  <si>
    <t>CAA LiberiAgricoltori - MACERATA - 003</t>
  </si>
  <si>
    <t>FALCIONI ANNA MARIA</t>
  </si>
  <si>
    <t>GENTILI FABRIZIO</t>
  </si>
  <si>
    <t>MICUCCI GABRIELLA</t>
  </si>
  <si>
    <t>BERNARDINI MANUEL</t>
  </si>
  <si>
    <t>CAA Confagricoltura - MACERATA - 001</t>
  </si>
  <si>
    <t>ANDREOZZI ARMANDO</t>
  </si>
  <si>
    <t>CAA Coldiretti - MACERATA - 010</t>
  </si>
  <si>
    <t>CACCIAMANI ALESSANDRO</t>
  </si>
  <si>
    <t>BARTOLINI DESIDERIO</t>
  </si>
  <si>
    <t>CARIOLI FULVIA</t>
  </si>
  <si>
    <t>CAA CIA - MACERATA - 001</t>
  </si>
  <si>
    <t>"AZIENDA 4 M - SOCIETA' AGRICOLA SEMPLICE DI MILIOZZI UMBERTO E C."</t>
  </si>
  <si>
    <t>AZIENDA MENATTA SOC. AGR. SEMPLICE</t>
  </si>
  <si>
    <t>BUROCCHI MARIA-ASSUNTA</t>
  </si>
  <si>
    <t>CASTELLANI ERALDO</t>
  </si>
  <si>
    <t>CACCIAMANI PAOLA</t>
  </si>
  <si>
    <t>BONGARZONI CORRADO</t>
  </si>
  <si>
    <t>BONIFAZI ALDERANO</t>
  </si>
  <si>
    <t>CAA CAF AGRI - MACERATA - 223</t>
  </si>
  <si>
    <t>SCODERONI MARSILIO</t>
  </si>
  <si>
    <t>BRANCHINI STEFANO</t>
  </si>
  <si>
    <t>PACI SIMONE</t>
  </si>
  <si>
    <t>AGEA.ASR.2020.0280497</t>
  </si>
  <si>
    <t>CAA CAF AGRI - ASCOLI PICENO - 221</t>
  </si>
  <si>
    <t>AZIENDA AGRICOLA MORESCHINI DI MORESCHINI PATRIZIO E PIERLUIGI SO CIET</t>
  </si>
  <si>
    <t>POLLIDORI DINO</t>
  </si>
  <si>
    <t>PASQUINELLI RINA</t>
  </si>
  <si>
    <t>BAIONI ARMANDO</t>
  </si>
  <si>
    <t>FIORANI FAUSTO</t>
  </si>
  <si>
    <t>REVERSI LUIGI</t>
  </si>
  <si>
    <t>RAGNI RICCARDO</t>
  </si>
  <si>
    <t>SANTELLINI UMBERTO</t>
  </si>
  <si>
    <t>SILVESTRI FRANCESCO</t>
  </si>
  <si>
    <t>STEFANELLI SAURO</t>
  </si>
  <si>
    <t>ROLEN SAS DI CONSORTI LEONARDO &amp; C.</t>
  </si>
  <si>
    <t>BARDEGGIA ALESSANDRO</t>
  </si>
  <si>
    <t>BARTOLINI ENRICO</t>
  </si>
  <si>
    <t>BONFRANCESCHI GIANDORICO</t>
  </si>
  <si>
    <t>CAA CAF AGRI - MACERATA - 227</t>
  </si>
  <si>
    <t>CARTECHINI MASSIMO</t>
  </si>
  <si>
    <t>CENSORI ROSANNA</t>
  </si>
  <si>
    <t>BRAVI ANGELO</t>
  </si>
  <si>
    <t>FULVI CARLO FELICE</t>
  </si>
  <si>
    <t>GAROSI MANUELA</t>
  </si>
  <si>
    <t>AGEA.ASR.2020.0281090</t>
  </si>
  <si>
    <t>FABRIZI FAUSTO</t>
  </si>
  <si>
    <t>AGEA.ASR.2020.0272755</t>
  </si>
  <si>
    <t>ROMITELLI FAUSTO</t>
  </si>
  <si>
    <t>CRISPICIANI SARA</t>
  </si>
  <si>
    <t>DE LUCA ANDREA</t>
  </si>
  <si>
    <t>FEDELI EZIO</t>
  </si>
  <si>
    <t>BERTI OVIDIO</t>
  </si>
  <si>
    <t>PAZZAGLINI PIETRO</t>
  </si>
  <si>
    <t>SOCIETA' AGRICOLA DRSILENZI S.S.</t>
  </si>
  <si>
    <t>SABBATINI LUCIA</t>
  </si>
  <si>
    <t>CARDINALI TINA</t>
  </si>
  <si>
    <t>CAMPETELLA ILARIA</t>
  </si>
  <si>
    <t>AGEA.ASR.2020.0282297</t>
  </si>
  <si>
    <t>AGEA.ASR.2020.0282330</t>
  </si>
  <si>
    <t>AGEA.ASR.2020.0282347</t>
  </si>
  <si>
    <t>MONTICELLI ODA</t>
  </si>
  <si>
    <t>AGEA.ASR.2020.0292223</t>
  </si>
  <si>
    <t>BOSSI BRUNO</t>
  </si>
  <si>
    <t>CIANCONI FRANCESCO</t>
  </si>
  <si>
    <t>LUCARELLI GIOVANNI</t>
  </si>
  <si>
    <t>BERNARDI MANUEL</t>
  </si>
  <si>
    <t>AGEA.ASR.2020.0282269</t>
  </si>
  <si>
    <t>SOCIETA' AGRICOLA ENERGY AGROFORESTALE SNC DI NORCINI PALA MAURO &amp; C.</t>
  </si>
  <si>
    <t>AGEA.ASR.2020.0282283</t>
  </si>
  <si>
    <t>BRACCIOTTI RENATO</t>
  </si>
  <si>
    <t>AGEA.ASR.2020.0297630</t>
  </si>
  <si>
    <t>DESIDERI ANTONIO</t>
  </si>
  <si>
    <t>STROPPA CAMILLA</t>
  </si>
  <si>
    <t>AGEA.ASR.2020.0292074</t>
  </si>
  <si>
    <t>VOLPONI VANNI</t>
  </si>
  <si>
    <t>SOCIETA' AGRICOLA FONDI GIUSEPPE E LAMBERTUCCI IDA S.S.</t>
  </si>
  <si>
    <t>RICCI DAVID</t>
  </si>
  <si>
    <t>ROSSI LUCA</t>
  </si>
  <si>
    <t>ANGELI GIOVANNI</t>
  </si>
  <si>
    <t>MAGGI NAZZARENO</t>
  </si>
  <si>
    <t>PAGINI SIMONA</t>
  </si>
  <si>
    <t>ROMITELLI GIACOMO</t>
  </si>
  <si>
    <t>ALEOTTI GIOVAN BATTISTA</t>
  </si>
  <si>
    <t>SOCIETA' AGRICOLA MENATTA VITTORIO E GIANMARIO S.S.</t>
  </si>
  <si>
    <t>CAMBORATA MARTA</t>
  </si>
  <si>
    <t>TRIONFETTI DANIELE</t>
  </si>
  <si>
    <t>PARIS MICHELA</t>
  </si>
  <si>
    <t>SOCIETA' AGRICOLA GENTILESCHI ANDREA E CONTIGIANI CINZIA S.S</t>
  </si>
  <si>
    <t>SBARDELLATI LAMBERTO</t>
  </si>
  <si>
    <t>SABBATINI LAURA</t>
  </si>
  <si>
    <t>SOCIETA' AGRICOLA INCANTO DI TISI CINZIA E C. S.S.</t>
  </si>
  <si>
    <t>SOCIETA' AGRICOLA LE ARCELLE DI PAZZAGLIA GIUSEPPINA &amp; C. SNC</t>
  </si>
  <si>
    <t>FEDELI CHIARINA</t>
  </si>
  <si>
    <t>FEDELI GIUSEPPE</t>
  </si>
  <si>
    <t>FRASCARELLI GERVASIO</t>
  </si>
  <si>
    <t>SOCIETA' AGRICOLA OLIVIERI SANTERO E C. S.S.</t>
  </si>
  <si>
    <t>BONIFAZI DONATO</t>
  </si>
  <si>
    <t>FEDUZI ROMUALDO</t>
  </si>
  <si>
    <t>CAA CIA - ASCOLI PICENO - 001</t>
  </si>
  <si>
    <t>VAGNONI LILIANA</t>
  </si>
  <si>
    <t>AGEA.ASR.2020.0285186</t>
  </si>
  <si>
    <t>SANTOLINI GABRIELE</t>
  </si>
  <si>
    <t>MARINO STEFANO</t>
  </si>
  <si>
    <t>AGEA.ASR.2020.0297879</t>
  </si>
  <si>
    <t>AGEA.ASR.2020.0297896</t>
  </si>
  <si>
    <t>LE VIGNE DI CLEMENTINA FABI SOCIETA' AGRICOLA A R. L.</t>
  </si>
  <si>
    <t>AGEA.ASR.2020.0282044</t>
  </si>
  <si>
    <t>MONTALBINI MARINO</t>
  </si>
  <si>
    <t>DOMINICI RITA</t>
  </si>
  <si>
    <t>TRAVAGLIATI LEONARDO</t>
  </si>
  <si>
    <t>SOCIETA' AGRICOLA CRUCIANI RUGGERO &amp; C. SOCIETA' SEMPLICE</t>
  </si>
  <si>
    <t>AGEA.ASR.2020.0292077</t>
  </si>
  <si>
    <t>AGEA.ASR.2020.0283892</t>
  </si>
  <si>
    <t>AGRIFILBIO SOCIETA' AGRICOLA SEMPLICE</t>
  </si>
  <si>
    <t>AGEA.ASR.2020.0285411</t>
  </si>
  <si>
    <t>"OLIVE GREGORI" SOCIETA' AGRICOLA SEMPLICE</t>
  </si>
  <si>
    <t>AGEA.ASR.2020.0285483</t>
  </si>
  <si>
    <t>CAA CIA - PESARO E URBINO - 006</t>
  </si>
  <si>
    <t>AZIENDA AGRICOLA SAN MARTINO DI SOLFANELLI GIULIANO &amp; C. S.A.S.</t>
  </si>
  <si>
    <t>SOCIETA' AGRICOLA CANCELLIERI LUIGI &amp; MARINO S.S.</t>
  </si>
  <si>
    <t>PIERLEONI MARCO</t>
  </si>
  <si>
    <t>URTINI GIOVANNI</t>
  </si>
  <si>
    <t>SOCIETA' AGRICOLA "AL CAMPO" S.S.</t>
  </si>
  <si>
    <t>SOCIETA' AGRICOLA "LE GENGHE DI NONNO ANGELO" S.S.</t>
  </si>
  <si>
    <t>SOCIETA' AGRICOLA SB DI STAGNOZZI S.S.</t>
  </si>
  <si>
    <t>SAVELLI ANDREA</t>
  </si>
  <si>
    <t>CAVERNI FRANCESCO</t>
  </si>
  <si>
    <t>MARTINELLI LUCIO</t>
  </si>
  <si>
    <t>SARTINI EMANUELA</t>
  </si>
  <si>
    <t>VALENTINI SARA</t>
  </si>
  <si>
    <t>CAA CAF AGRI - ANCONA - 221</t>
  </si>
  <si>
    <t>GIANNINI GIORGIO</t>
  </si>
  <si>
    <t>SOCIETA' AGRICOLA NOBILI NEVIO S.S.</t>
  </si>
  <si>
    <t>FIORELLI STEFANO</t>
  </si>
  <si>
    <t>BERDUCCI ROSSANO</t>
  </si>
  <si>
    <t>MAZZONI GIANNI</t>
  </si>
  <si>
    <t>COCCI CRISTIANO</t>
  </si>
  <si>
    <t>CASE ROSSE SOCIETA' COOPERATIVA AGRICOLA A RESPONSABILITA' LIMITATA IN</t>
  </si>
  <si>
    <t>CROCI ISOLINA</t>
  </si>
  <si>
    <t>FICERAI ELIGIO</t>
  </si>
  <si>
    <t>CAA CIA - ASCOLI PICENO - 006</t>
  </si>
  <si>
    <t>MORETTI MORENO</t>
  </si>
  <si>
    <t>VITA SIMONE</t>
  </si>
  <si>
    <t>SOCIETA' AGRICOLA VERDEPIANO S.S.</t>
  </si>
  <si>
    <t>GASPARI LORIS</t>
  </si>
  <si>
    <t>SOCIETA' AGRICOLA ABC DI GUERRA S.S.</t>
  </si>
  <si>
    <t>AZ.AGRICOLA DE BLASIO FILIPPO E C. SOCIETA AGRICOLA S.S.</t>
  </si>
  <si>
    <t>SOCIETA' AGRICOLA BARTOLUCCI S.S.</t>
  </si>
  <si>
    <t>CECCHINI FRANCO</t>
  </si>
  <si>
    <t>MANOCCHI GABRIELE</t>
  </si>
  <si>
    <t>BARTOLOMEI MARCO</t>
  </si>
  <si>
    <t>PRETELLI FRANCESCO</t>
  </si>
  <si>
    <t>CAVERNI SOCIETA' AGRICOLA SEMPLICE</t>
  </si>
  <si>
    <t>SOCIETA' AGRICOLA GREENMAVA SOCIETA' SEMPLICE</t>
  </si>
  <si>
    <t>CARDELLINI GIORGIO</t>
  </si>
  <si>
    <t>SPACCAPANICCIA GUIDO</t>
  </si>
  <si>
    <t>BARBERINI DAVIDE</t>
  </si>
  <si>
    <t>ARE AGRICOLTURA SOCIETA' SEMPLICE AGRICOLA DI DE STEFANO GIOVANNA E C.</t>
  </si>
  <si>
    <t>SOCIETA' AGRICOLA BIOLOGICA SRL</t>
  </si>
  <si>
    <t>MANCINI VILBERTO</t>
  </si>
  <si>
    <t>MAGNA MATER SRL SOCIETA' AGRICOLA UNIPER</t>
  </si>
  <si>
    <t>PELLICCIA GIUSEPPE</t>
  </si>
  <si>
    <t>ABDERHALDEN URS</t>
  </si>
  <si>
    <t>CICILIANI BASILIO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</si>
</sst>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DD9C5-05BF-4131-95F7-F5885FB90855}">
  <dimension ref="A1:Y342"/>
  <sheetViews>
    <sheetView showGridLines="0" tabSelected="1" workbookViewId="0">
      <selection activeCell="E349" sqref="E34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47</v>
      </c>
      <c r="D4" s="5" t="s">
        <v>48</v>
      </c>
      <c r="E4" s="5" t="s">
        <v>35</v>
      </c>
      <c r="F4" s="5" t="s">
        <v>49</v>
      </c>
      <c r="G4" s="5">
        <v>2018</v>
      </c>
      <c r="H4" s="5" t="str">
        <f>CONCATENATE("84241038938")</f>
        <v>84241038938</v>
      </c>
      <c r="I4" s="5" t="s">
        <v>29</v>
      </c>
      <c r="J4" s="5" t="s">
        <v>36</v>
      </c>
      <c r="K4" s="5" t="str">
        <f>CONCATENATE("")</f>
        <v/>
      </c>
      <c r="L4" s="5" t="str">
        <f>CONCATENATE("11 11.2 4b")</f>
        <v>11 11.2 4b</v>
      </c>
      <c r="M4" s="5" t="str">
        <f>CONCATENATE("SCHMBL38L47C060A")</f>
        <v>SCHMBL38L47C060A</v>
      </c>
      <c r="N4" s="5" t="s">
        <v>50</v>
      </c>
      <c r="O4" s="5" t="s">
        <v>51</v>
      </c>
      <c r="P4" s="6">
        <v>43650</v>
      </c>
      <c r="Q4" s="5" t="s">
        <v>31</v>
      </c>
      <c r="R4" s="5" t="s">
        <v>32</v>
      </c>
      <c r="S4" s="5" t="s">
        <v>33</v>
      </c>
      <c r="T4" s="5"/>
      <c r="U4" s="7">
        <v>6968.97</v>
      </c>
      <c r="V4" s="7">
        <v>3005.02</v>
      </c>
      <c r="W4" s="7">
        <v>2775.04</v>
      </c>
      <c r="X4" s="5">
        <v>0</v>
      </c>
      <c r="Y4" s="7">
        <v>1188.9100000000001</v>
      </c>
    </row>
    <row r="5" spans="1:25" ht="24.75" x14ac:dyDescent="0.25">
      <c r="A5" s="5" t="s">
        <v>26</v>
      </c>
      <c r="B5" s="5" t="s">
        <v>27</v>
      </c>
      <c r="C5" s="5" t="s">
        <v>47</v>
      </c>
      <c r="D5" s="5" t="s">
        <v>52</v>
      </c>
      <c r="E5" s="5" t="s">
        <v>35</v>
      </c>
      <c r="F5" s="5" t="s">
        <v>53</v>
      </c>
      <c r="G5" s="5">
        <v>2019</v>
      </c>
      <c r="H5" s="5" t="str">
        <f>CONCATENATE("94240316227")</f>
        <v>94240316227</v>
      </c>
      <c r="I5" s="5" t="s">
        <v>29</v>
      </c>
      <c r="J5" s="5" t="s">
        <v>36</v>
      </c>
      <c r="K5" s="5" t="str">
        <f>CONCATENATE("")</f>
        <v/>
      </c>
      <c r="L5" s="5" t="str">
        <f>CONCATENATE("11 11.1 4b")</f>
        <v>11 11.1 4b</v>
      </c>
      <c r="M5" s="5" t="str">
        <f>CONCATENATE("PLNGFR56B28D541A")</f>
        <v>PLNGFR56B28D541A</v>
      </c>
      <c r="N5" s="5" t="s">
        <v>54</v>
      </c>
      <c r="O5" s="5" t="s">
        <v>55</v>
      </c>
      <c r="P5" s="6">
        <v>43927</v>
      </c>
      <c r="Q5" s="5" t="s">
        <v>31</v>
      </c>
      <c r="R5" s="5" t="s">
        <v>32</v>
      </c>
      <c r="S5" s="5" t="s">
        <v>33</v>
      </c>
      <c r="T5" s="5"/>
      <c r="U5" s="5">
        <v>252.2</v>
      </c>
      <c r="V5" s="5">
        <v>108.75</v>
      </c>
      <c r="W5" s="5">
        <v>100.43</v>
      </c>
      <c r="X5" s="5">
        <v>0</v>
      </c>
      <c r="Y5" s="5">
        <v>43.02</v>
      </c>
    </row>
    <row r="6" spans="1:25" ht="24.75" x14ac:dyDescent="0.25">
      <c r="A6" s="5" t="s">
        <v>26</v>
      </c>
      <c r="B6" s="5" t="s">
        <v>27</v>
      </c>
      <c r="C6" s="5" t="s">
        <v>47</v>
      </c>
      <c r="D6" s="5" t="s">
        <v>52</v>
      </c>
      <c r="E6" s="5" t="s">
        <v>35</v>
      </c>
      <c r="F6" s="5" t="s">
        <v>56</v>
      </c>
      <c r="G6" s="5">
        <v>2019</v>
      </c>
      <c r="H6" s="5" t="str">
        <f>CONCATENATE("94240993181")</f>
        <v>94240993181</v>
      </c>
      <c r="I6" s="5" t="s">
        <v>29</v>
      </c>
      <c r="J6" s="5" t="s">
        <v>36</v>
      </c>
      <c r="K6" s="5" t="str">
        <f>CONCATENATE("")</f>
        <v/>
      </c>
      <c r="L6" s="5" t="str">
        <f>CONCATENATE("11 11.2 4b")</f>
        <v>11 11.2 4b</v>
      </c>
      <c r="M6" s="5" t="str">
        <f>CONCATENATE("VDDNZE47B08D749K")</f>
        <v>VDDNZE47B08D749K</v>
      </c>
      <c r="N6" s="5" t="s">
        <v>57</v>
      </c>
      <c r="O6" s="5" t="s">
        <v>55</v>
      </c>
      <c r="P6" s="6">
        <v>43927</v>
      </c>
      <c r="Q6" s="5" t="s">
        <v>31</v>
      </c>
      <c r="R6" s="5" t="s">
        <v>32</v>
      </c>
      <c r="S6" s="5" t="s">
        <v>33</v>
      </c>
      <c r="T6" s="5"/>
      <c r="U6" s="7">
        <v>1806.85</v>
      </c>
      <c r="V6" s="5">
        <v>779.11</v>
      </c>
      <c r="W6" s="5">
        <v>719.49</v>
      </c>
      <c r="X6" s="5">
        <v>0</v>
      </c>
      <c r="Y6" s="5">
        <v>308.25</v>
      </c>
    </row>
    <row r="7" spans="1:25" ht="24.75" x14ac:dyDescent="0.25">
      <c r="A7" s="5" t="s">
        <v>26</v>
      </c>
      <c r="B7" s="5" t="s">
        <v>27</v>
      </c>
      <c r="C7" s="5" t="s">
        <v>47</v>
      </c>
      <c r="D7" s="5" t="s">
        <v>48</v>
      </c>
      <c r="E7" s="5" t="s">
        <v>38</v>
      </c>
      <c r="F7" s="5" t="s">
        <v>58</v>
      </c>
      <c r="G7" s="5">
        <v>2019</v>
      </c>
      <c r="H7" s="5" t="str">
        <f>CONCATENATE("94240705098")</f>
        <v>94240705098</v>
      </c>
      <c r="I7" s="5" t="s">
        <v>29</v>
      </c>
      <c r="J7" s="5" t="s">
        <v>36</v>
      </c>
      <c r="K7" s="5" t="str">
        <f>CONCATENATE("")</f>
        <v/>
      </c>
      <c r="L7" s="5" t="str">
        <f>CONCATENATE("11 11.2 4b")</f>
        <v>11 11.2 4b</v>
      </c>
      <c r="M7" s="5" t="str">
        <f>CONCATENATE("FRRMHL99D20H211B")</f>
        <v>FRRMHL99D20H211B</v>
      </c>
      <c r="N7" s="5" t="s">
        <v>59</v>
      </c>
      <c r="O7" s="5" t="s">
        <v>55</v>
      </c>
      <c r="P7" s="6">
        <v>43927</v>
      </c>
      <c r="Q7" s="5" t="s">
        <v>31</v>
      </c>
      <c r="R7" s="5" t="s">
        <v>32</v>
      </c>
      <c r="S7" s="5" t="s">
        <v>33</v>
      </c>
      <c r="T7" s="5"/>
      <c r="U7" s="5">
        <v>989.1</v>
      </c>
      <c r="V7" s="5">
        <v>426.5</v>
      </c>
      <c r="W7" s="5">
        <v>393.86</v>
      </c>
      <c r="X7" s="5">
        <v>0</v>
      </c>
      <c r="Y7" s="5">
        <v>168.74</v>
      </c>
    </row>
    <row r="8" spans="1:25" ht="24.75" x14ac:dyDescent="0.25">
      <c r="A8" s="5" t="s">
        <v>26</v>
      </c>
      <c r="B8" s="5" t="s">
        <v>27</v>
      </c>
      <c r="C8" s="5" t="s">
        <v>47</v>
      </c>
      <c r="D8" s="5" t="s">
        <v>52</v>
      </c>
      <c r="E8" s="5" t="s">
        <v>28</v>
      </c>
      <c r="F8" s="5" t="s">
        <v>60</v>
      </c>
      <c r="G8" s="5">
        <v>2019</v>
      </c>
      <c r="H8" s="5" t="str">
        <f>CONCATENATE("94240666977")</f>
        <v>94240666977</v>
      </c>
      <c r="I8" s="5" t="s">
        <v>29</v>
      </c>
      <c r="J8" s="5" t="s">
        <v>36</v>
      </c>
      <c r="K8" s="5" t="str">
        <f>CONCATENATE("")</f>
        <v/>
      </c>
      <c r="L8" s="5" t="str">
        <f>CONCATENATE("11 11.2 4b")</f>
        <v>11 11.2 4b</v>
      </c>
      <c r="M8" s="5" t="str">
        <f>CONCATENATE("02393300419")</f>
        <v>02393300419</v>
      </c>
      <c r="N8" s="5" t="s">
        <v>61</v>
      </c>
      <c r="O8" s="5" t="s">
        <v>55</v>
      </c>
      <c r="P8" s="6">
        <v>43927</v>
      </c>
      <c r="Q8" s="5" t="s">
        <v>31</v>
      </c>
      <c r="R8" s="5" t="s">
        <v>32</v>
      </c>
      <c r="S8" s="5" t="s">
        <v>33</v>
      </c>
      <c r="T8" s="5"/>
      <c r="U8" s="7">
        <v>15659.92</v>
      </c>
      <c r="V8" s="7">
        <v>6752.56</v>
      </c>
      <c r="W8" s="7">
        <v>6235.78</v>
      </c>
      <c r="X8" s="5">
        <v>0</v>
      </c>
      <c r="Y8" s="7">
        <v>2671.58</v>
      </c>
    </row>
    <row r="9" spans="1:25" ht="24.75" x14ac:dyDescent="0.25">
      <c r="A9" s="5" t="s">
        <v>26</v>
      </c>
      <c r="B9" s="5" t="s">
        <v>27</v>
      </c>
      <c r="C9" s="5" t="s">
        <v>47</v>
      </c>
      <c r="D9" s="5" t="s">
        <v>52</v>
      </c>
      <c r="E9" s="5" t="s">
        <v>40</v>
      </c>
      <c r="F9" s="5" t="s">
        <v>62</v>
      </c>
      <c r="G9" s="5">
        <v>2019</v>
      </c>
      <c r="H9" s="5" t="str">
        <f>CONCATENATE("94240327091")</f>
        <v>94240327091</v>
      </c>
      <c r="I9" s="5" t="s">
        <v>29</v>
      </c>
      <c r="J9" s="5" t="s">
        <v>36</v>
      </c>
      <c r="K9" s="5" t="str">
        <f>CONCATENATE("")</f>
        <v/>
      </c>
      <c r="L9" s="5" t="str">
        <f>CONCATENATE("11 11.2 4b")</f>
        <v>11 11.2 4b</v>
      </c>
      <c r="M9" s="5" t="str">
        <f>CONCATENATE("CLNNRC83M16I459C")</f>
        <v>CLNNRC83M16I459C</v>
      </c>
      <c r="N9" s="5" t="s">
        <v>63</v>
      </c>
      <c r="O9" s="5" t="s">
        <v>55</v>
      </c>
      <c r="P9" s="6">
        <v>43927</v>
      </c>
      <c r="Q9" s="5" t="s">
        <v>31</v>
      </c>
      <c r="R9" s="5" t="s">
        <v>32</v>
      </c>
      <c r="S9" s="5" t="s">
        <v>33</v>
      </c>
      <c r="T9" s="5"/>
      <c r="U9" s="7">
        <v>3567.24</v>
      </c>
      <c r="V9" s="7">
        <v>1538.19</v>
      </c>
      <c r="W9" s="7">
        <v>1420.47</v>
      </c>
      <c r="X9" s="5">
        <v>0</v>
      </c>
      <c r="Y9" s="5">
        <v>608.58000000000004</v>
      </c>
    </row>
    <row r="10" spans="1:25" ht="24.75" x14ac:dyDescent="0.25">
      <c r="A10" s="5" t="s">
        <v>26</v>
      </c>
      <c r="B10" s="5" t="s">
        <v>27</v>
      </c>
      <c r="C10" s="5" t="s">
        <v>47</v>
      </c>
      <c r="D10" s="5" t="s">
        <v>52</v>
      </c>
      <c r="E10" s="5" t="s">
        <v>40</v>
      </c>
      <c r="F10" s="5" t="s">
        <v>64</v>
      </c>
      <c r="G10" s="5">
        <v>2018</v>
      </c>
      <c r="H10" s="5" t="str">
        <f>CONCATENATE("84240406599")</f>
        <v>84240406599</v>
      </c>
      <c r="I10" s="5" t="s">
        <v>29</v>
      </c>
      <c r="J10" s="5" t="s">
        <v>36</v>
      </c>
      <c r="K10" s="5" t="str">
        <f>CONCATENATE("")</f>
        <v/>
      </c>
      <c r="L10" s="5" t="str">
        <f>CONCATENATE("11 11.2 4b")</f>
        <v>11 11.2 4b</v>
      </c>
      <c r="M10" s="5" t="str">
        <f>CONCATENATE("02361800416")</f>
        <v>02361800416</v>
      </c>
      <c r="N10" s="5" t="s">
        <v>65</v>
      </c>
      <c r="O10" s="5" t="s">
        <v>55</v>
      </c>
      <c r="P10" s="6">
        <v>43927</v>
      </c>
      <c r="Q10" s="5" t="s">
        <v>31</v>
      </c>
      <c r="R10" s="5" t="s">
        <v>32</v>
      </c>
      <c r="S10" s="5" t="s">
        <v>33</v>
      </c>
      <c r="T10" s="5"/>
      <c r="U10" s="7">
        <v>12693.69</v>
      </c>
      <c r="V10" s="7">
        <v>5473.52</v>
      </c>
      <c r="W10" s="7">
        <v>5054.63</v>
      </c>
      <c r="X10" s="5">
        <v>0</v>
      </c>
      <c r="Y10" s="7">
        <v>2165.54</v>
      </c>
    </row>
    <row r="11" spans="1:25" ht="24.75" x14ac:dyDescent="0.25">
      <c r="A11" s="5" t="s">
        <v>26</v>
      </c>
      <c r="B11" s="5" t="s">
        <v>27</v>
      </c>
      <c r="C11" s="5" t="s">
        <v>47</v>
      </c>
      <c r="D11" s="5" t="s">
        <v>52</v>
      </c>
      <c r="E11" s="5" t="s">
        <v>40</v>
      </c>
      <c r="F11" s="5" t="s">
        <v>64</v>
      </c>
      <c r="G11" s="5">
        <v>2019</v>
      </c>
      <c r="H11" s="5" t="str">
        <f>CONCATENATE("94240693815")</f>
        <v>94240693815</v>
      </c>
      <c r="I11" s="5" t="s">
        <v>29</v>
      </c>
      <c r="J11" s="5" t="s">
        <v>36</v>
      </c>
      <c r="K11" s="5" t="str">
        <f>CONCATENATE("")</f>
        <v/>
      </c>
      <c r="L11" s="5" t="str">
        <f>CONCATENATE("11 11.2 4b")</f>
        <v>11 11.2 4b</v>
      </c>
      <c r="M11" s="5" t="str">
        <f>CONCATENATE("02361800416")</f>
        <v>02361800416</v>
      </c>
      <c r="N11" s="5" t="s">
        <v>65</v>
      </c>
      <c r="O11" s="5" t="s">
        <v>55</v>
      </c>
      <c r="P11" s="6">
        <v>43927</v>
      </c>
      <c r="Q11" s="5" t="s">
        <v>31</v>
      </c>
      <c r="R11" s="5" t="s">
        <v>32</v>
      </c>
      <c r="S11" s="5" t="s">
        <v>33</v>
      </c>
      <c r="T11" s="5"/>
      <c r="U11" s="7">
        <v>13867.59</v>
      </c>
      <c r="V11" s="7">
        <v>5979.7</v>
      </c>
      <c r="W11" s="7">
        <v>5522.07</v>
      </c>
      <c r="X11" s="5">
        <v>0</v>
      </c>
      <c r="Y11" s="7">
        <v>2365.8200000000002</v>
      </c>
    </row>
    <row r="12" spans="1:25" ht="24.75" x14ac:dyDescent="0.25">
      <c r="A12" s="5" t="s">
        <v>26</v>
      </c>
      <c r="B12" s="5" t="s">
        <v>27</v>
      </c>
      <c r="C12" s="5" t="s">
        <v>47</v>
      </c>
      <c r="D12" s="5" t="s">
        <v>52</v>
      </c>
      <c r="E12" s="5" t="s">
        <v>35</v>
      </c>
      <c r="F12" s="5" t="s">
        <v>66</v>
      </c>
      <c r="G12" s="5">
        <v>2019</v>
      </c>
      <c r="H12" s="5" t="str">
        <f>CONCATENATE("94240303720")</f>
        <v>94240303720</v>
      </c>
      <c r="I12" s="5" t="s">
        <v>29</v>
      </c>
      <c r="J12" s="5" t="s">
        <v>36</v>
      </c>
      <c r="K12" s="5" t="str">
        <f>CONCATENATE("")</f>
        <v/>
      </c>
      <c r="L12" s="5" t="str">
        <f>CONCATENATE("11 11.2 4b")</f>
        <v>11 11.2 4b</v>
      </c>
      <c r="M12" s="5" t="str">
        <f>CONCATENATE("00984410415")</f>
        <v>00984410415</v>
      </c>
      <c r="N12" s="5" t="s">
        <v>67</v>
      </c>
      <c r="O12" s="5" t="s">
        <v>55</v>
      </c>
      <c r="P12" s="6">
        <v>43927</v>
      </c>
      <c r="Q12" s="5" t="s">
        <v>31</v>
      </c>
      <c r="R12" s="5" t="s">
        <v>32</v>
      </c>
      <c r="S12" s="5" t="s">
        <v>33</v>
      </c>
      <c r="T12" s="5"/>
      <c r="U12" s="7">
        <v>34481.75</v>
      </c>
      <c r="V12" s="7">
        <v>14868.53</v>
      </c>
      <c r="W12" s="7">
        <v>13730.63</v>
      </c>
      <c r="X12" s="5">
        <v>0</v>
      </c>
      <c r="Y12" s="7">
        <v>5882.59</v>
      </c>
    </row>
    <row r="13" spans="1:25" ht="24.75" x14ac:dyDescent="0.25">
      <c r="A13" s="5" t="s">
        <v>26</v>
      </c>
      <c r="B13" s="5" t="s">
        <v>27</v>
      </c>
      <c r="C13" s="5" t="s">
        <v>47</v>
      </c>
      <c r="D13" s="5" t="s">
        <v>52</v>
      </c>
      <c r="E13" s="5" t="s">
        <v>35</v>
      </c>
      <c r="F13" s="5" t="s">
        <v>53</v>
      </c>
      <c r="G13" s="5">
        <v>2019</v>
      </c>
      <c r="H13" s="5" t="str">
        <f>CONCATENATE("94241697104")</f>
        <v>94241697104</v>
      </c>
      <c r="I13" s="5" t="s">
        <v>29</v>
      </c>
      <c r="J13" s="5" t="s">
        <v>36</v>
      </c>
      <c r="K13" s="5" t="str">
        <f>CONCATENATE("")</f>
        <v/>
      </c>
      <c r="L13" s="5" t="str">
        <f>CONCATENATE("11 11.2 4b")</f>
        <v>11 11.2 4b</v>
      </c>
      <c r="M13" s="5" t="str">
        <f>CONCATENATE("01337820417")</f>
        <v>01337820417</v>
      </c>
      <c r="N13" s="5" t="s">
        <v>68</v>
      </c>
      <c r="O13" s="5" t="s">
        <v>55</v>
      </c>
      <c r="P13" s="6">
        <v>43927</v>
      </c>
      <c r="Q13" s="5" t="s">
        <v>31</v>
      </c>
      <c r="R13" s="5" t="s">
        <v>32</v>
      </c>
      <c r="S13" s="5" t="s">
        <v>33</v>
      </c>
      <c r="T13" s="5"/>
      <c r="U13" s="7">
        <v>19999.66</v>
      </c>
      <c r="V13" s="7">
        <v>8623.85</v>
      </c>
      <c r="W13" s="7">
        <v>7963.86</v>
      </c>
      <c r="X13" s="5">
        <v>0</v>
      </c>
      <c r="Y13" s="7">
        <v>3411.95</v>
      </c>
    </row>
    <row r="14" spans="1:25" ht="24.75" x14ac:dyDescent="0.25">
      <c r="A14" s="5" t="s">
        <v>26</v>
      </c>
      <c r="B14" s="5" t="s">
        <v>27</v>
      </c>
      <c r="C14" s="5" t="s">
        <v>47</v>
      </c>
      <c r="D14" s="5" t="s">
        <v>52</v>
      </c>
      <c r="E14" s="5" t="s">
        <v>40</v>
      </c>
      <c r="F14" s="5" t="s">
        <v>64</v>
      </c>
      <c r="G14" s="5">
        <v>2019</v>
      </c>
      <c r="H14" s="5" t="str">
        <f>CONCATENATE("94240148224")</f>
        <v>94240148224</v>
      </c>
      <c r="I14" s="5" t="s">
        <v>29</v>
      </c>
      <c r="J14" s="5" t="s">
        <v>36</v>
      </c>
      <c r="K14" s="5" t="str">
        <f>CONCATENATE("")</f>
        <v/>
      </c>
      <c r="L14" s="5" t="str">
        <f>CONCATENATE("11 11.2 4b")</f>
        <v>11 11.2 4b</v>
      </c>
      <c r="M14" s="5" t="str">
        <f>CONCATENATE("RGLCRL68C43C830Z")</f>
        <v>RGLCRL68C43C830Z</v>
      </c>
      <c r="N14" s="5" t="s">
        <v>69</v>
      </c>
      <c r="O14" s="5" t="s">
        <v>55</v>
      </c>
      <c r="P14" s="6">
        <v>43927</v>
      </c>
      <c r="Q14" s="5" t="s">
        <v>31</v>
      </c>
      <c r="R14" s="5" t="s">
        <v>32</v>
      </c>
      <c r="S14" s="5" t="s">
        <v>33</v>
      </c>
      <c r="T14" s="5"/>
      <c r="U14" s="7">
        <v>2592.2199999999998</v>
      </c>
      <c r="V14" s="7">
        <v>1117.77</v>
      </c>
      <c r="W14" s="7">
        <v>1032.22</v>
      </c>
      <c r="X14" s="5">
        <v>0</v>
      </c>
      <c r="Y14" s="5">
        <v>442.23</v>
      </c>
    </row>
    <row r="15" spans="1:25" ht="24.75" x14ac:dyDescent="0.25">
      <c r="A15" s="5" t="s">
        <v>26</v>
      </c>
      <c r="B15" s="5" t="s">
        <v>27</v>
      </c>
      <c r="C15" s="5" t="s">
        <v>47</v>
      </c>
      <c r="D15" s="5" t="s">
        <v>52</v>
      </c>
      <c r="E15" s="5" t="s">
        <v>35</v>
      </c>
      <c r="F15" s="5" t="s">
        <v>70</v>
      </c>
      <c r="G15" s="5">
        <v>2019</v>
      </c>
      <c r="H15" s="5" t="str">
        <f>CONCATENATE("94240934409")</f>
        <v>94240934409</v>
      </c>
      <c r="I15" s="5" t="s">
        <v>29</v>
      </c>
      <c r="J15" s="5" t="s">
        <v>36</v>
      </c>
      <c r="K15" s="5" t="str">
        <f>CONCATENATE("")</f>
        <v/>
      </c>
      <c r="L15" s="5" t="str">
        <f>CONCATENATE("11 11.2 4b")</f>
        <v>11 11.2 4b</v>
      </c>
      <c r="M15" s="5" t="str">
        <f>CONCATENATE("PTRFRC75S24L840V")</f>
        <v>PTRFRC75S24L840V</v>
      </c>
      <c r="N15" s="5" t="s">
        <v>71</v>
      </c>
      <c r="O15" s="5" t="s">
        <v>55</v>
      </c>
      <c r="P15" s="6">
        <v>43927</v>
      </c>
      <c r="Q15" s="5" t="s">
        <v>31</v>
      </c>
      <c r="R15" s="5" t="s">
        <v>32</v>
      </c>
      <c r="S15" s="5" t="s">
        <v>33</v>
      </c>
      <c r="T15" s="5"/>
      <c r="U15" s="7">
        <v>2808.75</v>
      </c>
      <c r="V15" s="7">
        <v>1211.1300000000001</v>
      </c>
      <c r="W15" s="7">
        <v>1118.44</v>
      </c>
      <c r="X15" s="5">
        <v>0</v>
      </c>
      <c r="Y15" s="5">
        <v>479.18</v>
      </c>
    </row>
    <row r="16" spans="1:25" ht="24.75" x14ac:dyDescent="0.25">
      <c r="A16" s="5" t="s">
        <v>26</v>
      </c>
      <c r="B16" s="5" t="s">
        <v>27</v>
      </c>
      <c r="C16" s="5" t="s">
        <v>47</v>
      </c>
      <c r="D16" s="5" t="s">
        <v>52</v>
      </c>
      <c r="E16" s="5" t="s">
        <v>40</v>
      </c>
      <c r="F16" s="5" t="s">
        <v>62</v>
      </c>
      <c r="G16" s="5">
        <v>2019</v>
      </c>
      <c r="H16" s="5" t="str">
        <f>CONCATENATE("94240007784")</f>
        <v>94240007784</v>
      </c>
      <c r="I16" s="5" t="s">
        <v>43</v>
      </c>
      <c r="J16" s="5" t="s">
        <v>36</v>
      </c>
      <c r="K16" s="5" t="str">
        <f>CONCATENATE("")</f>
        <v/>
      </c>
      <c r="L16" s="5" t="str">
        <f>CONCATENATE("11 11.2 4b")</f>
        <v>11 11.2 4b</v>
      </c>
      <c r="M16" s="5" t="str">
        <f>CONCATENATE("GVNFNC78R03D488G")</f>
        <v>GVNFNC78R03D488G</v>
      </c>
      <c r="N16" s="5" t="s">
        <v>72</v>
      </c>
      <c r="O16" s="5" t="s">
        <v>55</v>
      </c>
      <c r="P16" s="6">
        <v>43927</v>
      </c>
      <c r="Q16" s="5" t="s">
        <v>31</v>
      </c>
      <c r="R16" s="5" t="s">
        <v>32</v>
      </c>
      <c r="S16" s="5" t="s">
        <v>33</v>
      </c>
      <c r="T16" s="5"/>
      <c r="U16" s="5">
        <v>276.49</v>
      </c>
      <c r="V16" s="5">
        <v>119.22</v>
      </c>
      <c r="W16" s="5">
        <v>110.1</v>
      </c>
      <c r="X16" s="5">
        <v>0</v>
      </c>
      <c r="Y16" s="5">
        <v>47.17</v>
      </c>
    </row>
    <row r="17" spans="1:25" ht="24.75" x14ac:dyDescent="0.25">
      <c r="A17" s="5" t="s">
        <v>26</v>
      </c>
      <c r="B17" s="5" t="s">
        <v>27</v>
      </c>
      <c r="C17" s="5" t="s">
        <v>47</v>
      </c>
      <c r="D17" s="5" t="s">
        <v>52</v>
      </c>
      <c r="E17" s="5" t="s">
        <v>42</v>
      </c>
      <c r="F17" s="5" t="s">
        <v>73</v>
      </c>
      <c r="G17" s="5">
        <v>2019</v>
      </c>
      <c r="H17" s="5" t="str">
        <f>CONCATENATE("94241171761")</f>
        <v>94241171761</v>
      </c>
      <c r="I17" s="5" t="s">
        <v>29</v>
      </c>
      <c r="J17" s="5" t="s">
        <v>36</v>
      </c>
      <c r="K17" s="5" t="str">
        <f>CONCATENATE("")</f>
        <v/>
      </c>
      <c r="L17" s="5" t="str">
        <f>CONCATENATE("11 11.1 4b")</f>
        <v>11 11.1 4b</v>
      </c>
      <c r="M17" s="5" t="str">
        <f>CONCATENATE("CNCNDR90M21I459O")</f>
        <v>CNCNDR90M21I459O</v>
      </c>
      <c r="N17" s="5" t="s">
        <v>74</v>
      </c>
      <c r="O17" s="5" t="s">
        <v>55</v>
      </c>
      <c r="P17" s="6">
        <v>43927</v>
      </c>
      <c r="Q17" s="5" t="s">
        <v>31</v>
      </c>
      <c r="R17" s="5" t="s">
        <v>32</v>
      </c>
      <c r="S17" s="5" t="s">
        <v>33</v>
      </c>
      <c r="T17" s="5"/>
      <c r="U17" s="7">
        <v>5533.97</v>
      </c>
      <c r="V17" s="7">
        <v>2386.25</v>
      </c>
      <c r="W17" s="7">
        <v>2203.63</v>
      </c>
      <c r="X17" s="5">
        <v>0</v>
      </c>
      <c r="Y17" s="5">
        <v>944.09</v>
      </c>
    </row>
    <row r="18" spans="1:25" ht="24.75" x14ac:dyDescent="0.25">
      <c r="A18" s="5" t="s">
        <v>26</v>
      </c>
      <c r="B18" s="5" t="s">
        <v>27</v>
      </c>
      <c r="C18" s="5" t="s">
        <v>47</v>
      </c>
      <c r="D18" s="5" t="s">
        <v>48</v>
      </c>
      <c r="E18" s="5" t="s">
        <v>28</v>
      </c>
      <c r="F18" s="5" t="s">
        <v>75</v>
      </c>
      <c r="G18" s="5">
        <v>2019</v>
      </c>
      <c r="H18" s="5" t="str">
        <f>CONCATENATE("94241157638")</f>
        <v>94241157638</v>
      </c>
      <c r="I18" s="5" t="s">
        <v>29</v>
      </c>
      <c r="J18" s="5" t="s">
        <v>36</v>
      </c>
      <c r="K18" s="5" t="str">
        <f>CONCATENATE("")</f>
        <v/>
      </c>
      <c r="L18" s="5" t="str">
        <f>CONCATENATE("11 11.2 4b")</f>
        <v>11 11.2 4b</v>
      </c>
      <c r="M18" s="5" t="str">
        <f>CONCATENATE("13698851006")</f>
        <v>13698851006</v>
      </c>
      <c r="N18" s="5" t="s">
        <v>76</v>
      </c>
      <c r="O18" s="5" t="s">
        <v>55</v>
      </c>
      <c r="P18" s="6">
        <v>43927</v>
      </c>
      <c r="Q18" s="5" t="s">
        <v>31</v>
      </c>
      <c r="R18" s="5" t="s">
        <v>32</v>
      </c>
      <c r="S18" s="5" t="s">
        <v>33</v>
      </c>
      <c r="T18" s="5"/>
      <c r="U18" s="5">
        <v>264.20999999999998</v>
      </c>
      <c r="V18" s="5">
        <v>113.93</v>
      </c>
      <c r="W18" s="5">
        <v>105.21</v>
      </c>
      <c r="X18" s="5">
        <v>0</v>
      </c>
      <c r="Y18" s="5">
        <v>45.07</v>
      </c>
    </row>
    <row r="19" spans="1:25" ht="24.75" x14ac:dyDescent="0.25">
      <c r="A19" s="5" t="s">
        <v>26</v>
      </c>
      <c r="B19" s="5" t="s">
        <v>27</v>
      </c>
      <c r="C19" s="5" t="s">
        <v>47</v>
      </c>
      <c r="D19" s="5" t="s">
        <v>52</v>
      </c>
      <c r="E19" s="5" t="s">
        <v>28</v>
      </c>
      <c r="F19" s="5" t="s">
        <v>77</v>
      </c>
      <c r="G19" s="5">
        <v>2019</v>
      </c>
      <c r="H19" s="5" t="str">
        <f>CONCATENATE("94240862220")</f>
        <v>94240862220</v>
      </c>
      <c r="I19" s="5" t="s">
        <v>29</v>
      </c>
      <c r="J19" s="5" t="s">
        <v>36</v>
      </c>
      <c r="K19" s="5" t="str">
        <f>CONCATENATE("")</f>
        <v/>
      </c>
      <c r="L19" s="5" t="str">
        <f>CONCATENATE("11 11.2 4b")</f>
        <v>11 11.2 4b</v>
      </c>
      <c r="M19" s="5" t="str">
        <f>CONCATENATE("TDJKST68E52Z132Y")</f>
        <v>TDJKST68E52Z132Y</v>
      </c>
      <c r="N19" s="5" t="s">
        <v>78</v>
      </c>
      <c r="O19" s="5" t="s">
        <v>55</v>
      </c>
      <c r="P19" s="6">
        <v>43927</v>
      </c>
      <c r="Q19" s="5" t="s">
        <v>31</v>
      </c>
      <c r="R19" s="5" t="s">
        <v>32</v>
      </c>
      <c r="S19" s="5" t="s">
        <v>33</v>
      </c>
      <c r="T19" s="5"/>
      <c r="U19" s="5">
        <v>91.93</v>
      </c>
      <c r="V19" s="5">
        <v>39.64</v>
      </c>
      <c r="W19" s="5">
        <v>36.61</v>
      </c>
      <c r="X19" s="5">
        <v>0</v>
      </c>
      <c r="Y19" s="5">
        <v>15.68</v>
      </c>
    </row>
    <row r="20" spans="1:25" ht="24.75" x14ac:dyDescent="0.25">
      <c r="A20" s="5" t="s">
        <v>26</v>
      </c>
      <c r="B20" s="5" t="s">
        <v>27</v>
      </c>
      <c r="C20" s="5" t="s">
        <v>47</v>
      </c>
      <c r="D20" s="5" t="s">
        <v>52</v>
      </c>
      <c r="E20" s="5" t="s">
        <v>28</v>
      </c>
      <c r="F20" s="5" t="s">
        <v>79</v>
      </c>
      <c r="G20" s="5">
        <v>2019</v>
      </c>
      <c r="H20" s="5" t="str">
        <f>CONCATENATE("94240576556")</f>
        <v>94240576556</v>
      </c>
      <c r="I20" s="5" t="s">
        <v>29</v>
      </c>
      <c r="J20" s="5" t="s">
        <v>36</v>
      </c>
      <c r="K20" s="5" t="str">
        <f>CONCATENATE("")</f>
        <v/>
      </c>
      <c r="L20" s="5" t="str">
        <f>CONCATENATE("11 11.2 4b")</f>
        <v>11 11.2 4b</v>
      </c>
      <c r="M20" s="5" t="str">
        <f>CONCATENATE("02323940417")</f>
        <v>02323940417</v>
      </c>
      <c r="N20" s="5" t="s">
        <v>80</v>
      </c>
      <c r="O20" s="5" t="s">
        <v>55</v>
      </c>
      <c r="P20" s="6">
        <v>43927</v>
      </c>
      <c r="Q20" s="5" t="s">
        <v>31</v>
      </c>
      <c r="R20" s="5" t="s">
        <v>32</v>
      </c>
      <c r="S20" s="5" t="s">
        <v>33</v>
      </c>
      <c r="T20" s="5"/>
      <c r="U20" s="7">
        <v>5082.91</v>
      </c>
      <c r="V20" s="7">
        <v>2191.75</v>
      </c>
      <c r="W20" s="7">
        <v>2024.01</v>
      </c>
      <c r="X20" s="5">
        <v>0</v>
      </c>
      <c r="Y20" s="5">
        <v>867.15</v>
      </c>
    </row>
    <row r="21" spans="1:25" ht="24.75" x14ac:dyDescent="0.25">
      <c r="A21" s="5" t="s">
        <v>26</v>
      </c>
      <c r="B21" s="5" t="s">
        <v>27</v>
      </c>
      <c r="C21" s="5" t="s">
        <v>47</v>
      </c>
      <c r="D21" s="5" t="s">
        <v>48</v>
      </c>
      <c r="E21" s="5" t="s">
        <v>38</v>
      </c>
      <c r="F21" s="5" t="s">
        <v>81</v>
      </c>
      <c r="G21" s="5">
        <v>2017</v>
      </c>
      <c r="H21" s="5" t="str">
        <f>CONCATENATE("74240464565")</f>
        <v>74240464565</v>
      </c>
      <c r="I21" s="5" t="s">
        <v>29</v>
      </c>
      <c r="J21" s="5" t="s">
        <v>36</v>
      </c>
      <c r="K21" s="5" t="str">
        <f>CONCATENATE("")</f>
        <v/>
      </c>
      <c r="L21" s="5" t="str">
        <f>CONCATENATE("11 11.2 4b")</f>
        <v>11 11.2 4b</v>
      </c>
      <c r="M21" s="5" t="str">
        <f>CONCATENATE("BDNMGH88T61D488N")</f>
        <v>BDNMGH88T61D488N</v>
      </c>
      <c r="N21" s="5" t="s">
        <v>82</v>
      </c>
      <c r="O21" s="5" t="s">
        <v>55</v>
      </c>
      <c r="P21" s="6">
        <v>43927</v>
      </c>
      <c r="Q21" s="5" t="s">
        <v>31</v>
      </c>
      <c r="R21" s="5" t="s">
        <v>32</v>
      </c>
      <c r="S21" s="5" t="s">
        <v>33</v>
      </c>
      <c r="T21" s="5"/>
      <c r="U21" s="7">
        <v>9371.34</v>
      </c>
      <c r="V21" s="7">
        <v>4040.92</v>
      </c>
      <c r="W21" s="7">
        <v>3731.67</v>
      </c>
      <c r="X21" s="5">
        <v>0</v>
      </c>
      <c r="Y21" s="7">
        <v>1598.75</v>
      </c>
    </row>
    <row r="22" spans="1:25" ht="24.75" x14ac:dyDescent="0.25">
      <c r="A22" s="5" t="s">
        <v>26</v>
      </c>
      <c r="B22" s="5" t="s">
        <v>27</v>
      </c>
      <c r="C22" s="5" t="s">
        <v>47</v>
      </c>
      <c r="D22" s="5" t="s">
        <v>52</v>
      </c>
      <c r="E22" s="5" t="s">
        <v>40</v>
      </c>
      <c r="F22" s="5" t="s">
        <v>64</v>
      </c>
      <c r="G22" s="5">
        <v>2019</v>
      </c>
      <c r="H22" s="5" t="str">
        <f>CONCATENATE("94240424310")</f>
        <v>94240424310</v>
      </c>
      <c r="I22" s="5" t="s">
        <v>29</v>
      </c>
      <c r="J22" s="5" t="s">
        <v>36</v>
      </c>
      <c r="K22" s="5" t="str">
        <f>CONCATENATE("")</f>
        <v/>
      </c>
      <c r="L22" s="5" t="str">
        <f>CONCATENATE("11 11.2 4b")</f>
        <v>11 11.2 4b</v>
      </c>
      <c r="M22" s="5" t="str">
        <f>CONCATENATE("SLTMCL67E20I459M")</f>
        <v>SLTMCL67E20I459M</v>
      </c>
      <c r="N22" s="5" t="s">
        <v>83</v>
      </c>
      <c r="O22" s="5" t="s">
        <v>55</v>
      </c>
      <c r="P22" s="6">
        <v>43927</v>
      </c>
      <c r="Q22" s="5" t="s">
        <v>31</v>
      </c>
      <c r="R22" s="5" t="s">
        <v>32</v>
      </c>
      <c r="S22" s="5" t="s">
        <v>33</v>
      </c>
      <c r="T22" s="5"/>
      <c r="U22" s="7">
        <v>4052.47</v>
      </c>
      <c r="V22" s="7">
        <v>1747.43</v>
      </c>
      <c r="W22" s="7">
        <v>1613.69</v>
      </c>
      <c r="X22" s="5">
        <v>0</v>
      </c>
      <c r="Y22" s="5">
        <v>691.35</v>
      </c>
    </row>
    <row r="23" spans="1:25" ht="24.75" x14ac:dyDescent="0.25">
      <c r="A23" s="5" t="s">
        <v>26</v>
      </c>
      <c r="B23" s="5" t="s">
        <v>27</v>
      </c>
      <c r="C23" s="5" t="s">
        <v>47</v>
      </c>
      <c r="D23" s="5" t="s">
        <v>48</v>
      </c>
      <c r="E23" s="5" t="s">
        <v>35</v>
      </c>
      <c r="F23" s="5" t="s">
        <v>49</v>
      </c>
      <c r="G23" s="5">
        <v>2018</v>
      </c>
      <c r="H23" s="5" t="str">
        <f>CONCATENATE("84240619050")</f>
        <v>84240619050</v>
      </c>
      <c r="I23" s="5" t="s">
        <v>29</v>
      </c>
      <c r="J23" s="5" t="s">
        <v>36</v>
      </c>
      <c r="K23" s="5" t="str">
        <f>CONCATENATE("")</f>
        <v/>
      </c>
      <c r="L23" s="5" t="str">
        <f>CONCATENATE("11 11.2 4b")</f>
        <v>11 11.2 4b</v>
      </c>
      <c r="M23" s="5" t="str">
        <f>CONCATENATE("CLCPNI64D41I932B")</f>
        <v>CLCPNI64D41I932B</v>
      </c>
      <c r="N23" s="5" t="s">
        <v>84</v>
      </c>
      <c r="O23" s="5" t="s">
        <v>55</v>
      </c>
      <c r="P23" s="6">
        <v>43927</v>
      </c>
      <c r="Q23" s="5" t="s">
        <v>31</v>
      </c>
      <c r="R23" s="5" t="s">
        <v>32</v>
      </c>
      <c r="S23" s="5" t="s">
        <v>33</v>
      </c>
      <c r="T23" s="5"/>
      <c r="U23" s="7">
        <v>3425.4</v>
      </c>
      <c r="V23" s="7">
        <v>1477.03</v>
      </c>
      <c r="W23" s="7">
        <v>1363.99</v>
      </c>
      <c r="X23" s="5">
        <v>0</v>
      </c>
      <c r="Y23" s="5">
        <v>584.38</v>
      </c>
    </row>
    <row r="24" spans="1:25" ht="24.75" x14ac:dyDescent="0.25">
      <c r="A24" s="5" t="s">
        <v>26</v>
      </c>
      <c r="B24" s="5" t="s">
        <v>27</v>
      </c>
      <c r="C24" s="5" t="s">
        <v>47</v>
      </c>
      <c r="D24" s="5" t="s">
        <v>48</v>
      </c>
      <c r="E24" s="5" t="s">
        <v>35</v>
      </c>
      <c r="F24" s="5" t="s">
        <v>49</v>
      </c>
      <c r="G24" s="5">
        <v>2019</v>
      </c>
      <c r="H24" s="5" t="str">
        <f>CONCATENATE("94240814569")</f>
        <v>94240814569</v>
      </c>
      <c r="I24" s="5" t="s">
        <v>29</v>
      </c>
      <c r="J24" s="5" t="s">
        <v>36</v>
      </c>
      <c r="K24" s="5" t="str">
        <f>CONCATENATE("")</f>
        <v/>
      </c>
      <c r="L24" s="5" t="str">
        <f>CONCATENATE("11 11.2 4b")</f>
        <v>11 11.2 4b</v>
      </c>
      <c r="M24" s="5" t="str">
        <f>CONCATENATE("CLCPNI64D41I932B")</f>
        <v>CLCPNI64D41I932B</v>
      </c>
      <c r="N24" s="5" t="s">
        <v>84</v>
      </c>
      <c r="O24" s="5" t="s">
        <v>55</v>
      </c>
      <c r="P24" s="6">
        <v>43927</v>
      </c>
      <c r="Q24" s="5" t="s">
        <v>31</v>
      </c>
      <c r="R24" s="5" t="s">
        <v>32</v>
      </c>
      <c r="S24" s="5" t="s">
        <v>33</v>
      </c>
      <c r="T24" s="5"/>
      <c r="U24" s="7">
        <v>5072.08</v>
      </c>
      <c r="V24" s="7">
        <v>2187.08</v>
      </c>
      <c r="W24" s="7">
        <v>2019.7</v>
      </c>
      <c r="X24" s="5">
        <v>0</v>
      </c>
      <c r="Y24" s="5">
        <v>865.3</v>
      </c>
    </row>
    <row r="25" spans="1:25" ht="24.75" x14ac:dyDescent="0.25">
      <c r="A25" s="5" t="s">
        <v>26</v>
      </c>
      <c r="B25" s="5" t="s">
        <v>27</v>
      </c>
      <c r="C25" s="5" t="s">
        <v>47</v>
      </c>
      <c r="D25" s="5" t="s">
        <v>48</v>
      </c>
      <c r="E25" s="5" t="s">
        <v>35</v>
      </c>
      <c r="F25" s="5" t="s">
        <v>85</v>
      </c>
      <c r="G25" s="5">
        <v>2019</v>
      </c>
      <c r="H25" s="5" t="str">
        <f>CONCATENATE("94240874175")</f>
        <v>94240874175</v>
      </c>
      <c r="I25" s="5" t="s">
        <v>29</v>
      </c>
      <c r="J25" s="5" t="s">
        <v>36</v>
      </c>
      <c r="K25" s="5" t="str">
        <f>CONCATENATE("")</f>
        <v/>
      </c>
      <c r="L25" s="5" t="str">
        <f>CONCATENATE("11 11.2 4b")</f>
        <v>11 11.2 4b</v>
      </c>
      <c r="M25" s="5" t="str">
        <f>CONCATENATE("PCGRMG65A13Z133V")</f>
        <v>PCGRMG65A13Z133V</v>
      </c>
      <c r="N25" s="5" t="s">
        <v>86</v>
      </c>
      <c r="O25" s="5" t="s">
        <v>55</v>
      </c>
      <c r="P25" s="6">
        <v>43927</v>
      </c>
      <c r="Q25" s="5" t="s">
        <v>31</v>
      </c>
      <c r="R25" s="5" t="s">
        <v>32</v>
      </c>
      <c r="S25" s="5" t="s">
        <v>33</v>
      </c>
      <c r="T25" s="5"/>
      <c r="U25" s="7">
        <v>6089.38</v>
      </c>
      <c r="V25" s="7">
        <v>2625.74</v>
      </c>
      <c r="W25" s="7">
        <v>2424.79</v>
      </c>
      <c r="X25" s="5">
        <v>0</v>
      </c>
      <c r="Y25" s="7">
        <v>1038.8499999999999</v>
      </c>
    </row>
    <row r="26" spans="1:25" ht="24.75" x14ac:dyDescent="0.25">
      <c r="A26" s="5" t="s">
        <v>26</v>
      </c>
      <c r="B26" s="5" t="s">
        <v>27</v>
      </c>
      <c r="C26" s="5" t="s">
        <v>47</v>
      </c>
      <c r="D26" s="5" t="s">
        <v>52</v>
      </c>
      <c r="E26" s="5" t="s">
        <v>35</v>
      </c>
      <c r="F26" s="5" t="s">
        <v>56</v>
      </c>
      <c r="G26" s="5">
        <v>2019</v>
      </c>
      <c r="H26" s="5" t="str">
        <f>CONCATENATE("94240800527")</f>
        <v>94240800527</v>
      </c>
      <c r="I26" s="5" t="s">
        <v>29</v>
      </c>
      <c r="J26" s="5" t="s">
        <v>36</v>
      </c>
      <c r="K26" s="5" t="str">
        <f>CONCATENATE("")</f>
        <v/>
      </c>
      <c r="L26" s="5" t="str">
        <f>CONCATENATE("11 11.1 4b")</f>
        <v>11 11.1 4b</v>
      </c>
      <c r="M26" s="5" t="str">
        <f>CONCATENATE("RMTJTH95E31D488L")</f>
        <v>RMTJTH95E31D488L</v>
      </c>
      <c r="N26" s="5" t="s">
        <v>87</v>
      </c>
      <c r="O26" s="5" t="s">
        <v>55</v>
      </c>
      <c r="P26" s="6">
        <v>43927</v>
      </c>
      <c r="Q26" s="5" t="s">
        <v>31</v>
      </c>
      <c r="R26" s="5" t="s">
        <v>32</v>
      </c>
      <c r="S26" s="5" t="s">
        <v>33</v>
      </c>
      <c r="T26" s="5"/>
      <c r="U26" s="7">
        <v>9195.91</v>
      </c>
      <c r="V26" s="7">
        <v>3965.28</v>
      </c>
      <c r="W26" s="7">
        <v>3661.81</v>
      </c>
      <c r="X26" s="5">
        <v>0</v>
      </c>
      <c r="Y26" s="7">
        <v>1568.82</v>
      </c>
    </row>
    <row r="27" spans="1:25" ht="24.75" x14ac:dyDescent="0.25">
      <c r="A27" s="5" t="s">
        <v>26</v>
      </c>
      <c r="B27" s="5" t="s">
        <v>27</v>
      </c>
      <c r="C27" s="5" t="s">
        <v>47</v>
      </c>
      <c r="D27" s="5" t="s">
        <v>52</v>
      </c>
      <c r="E27" s="5" t="s">
        <v>42</v>
      </c>
      <c r="F27" s="5" t="s">
        <v>88</v>
      </c>
      <c r="G27" s="5">
        <v>2019</v>
      </c>
      <c r="H27" s="5" t="str">
        <f>CONCATENATE("94241116758")</f>
        <v>94241116758</v>
      </c>
      <c r="I27" s="5" t="s">
        <v>29</v>
      </c>
      <c r="J27" s="5" t="s">
        <v>36</v>
      </c>
      <c r="K27" s="5" t="str">
        <f>CONCATENATE("")</f>
        <v/>
      </c>
      <c r="L27" s="5" t="str">
        <f>CONCATENATE("11 11.2 4b")</f>
        <v>11 11.2 4b</v>
      </c>
      <c r="M27" s="5" t="str">
        <f>CONCATENATE("01496630417")</f>
        <v>01496630417</v>
      </c>
      <c r="N27" s="5" t="s">
        <v>89</v>
      </c>
      <c r="O27" s="5" t="s">
        <v>55</v>
      </c>
      <c r="P27" s="6">
        <v>43927</v>
      </c>
      <c r="Q27" s="5" t="s">
        <v>31</v>
      </c>
      <c r="R27" s="5" t="s">
        <v>32</v>
      </c>
      <c r="S27" s="5" t="s">
        <v>33</v>
      </c>
      <c r="T27" s="5"/>
      <c r="U27" s="7">
        <v>3655.51</v>
      </c>
      <c r="V27" s="7">
        <v>1576.26</v>
      </c>
      <c r="W27" s="7">
        <v>1455.62</v>
      </c>
      <c r="X27" s="5">
        <v>0</v>
      </c>
      <c r="Y27" s="5">
        <v>623.63</v>
      </c>
    </row>
    <row r="28" spans="1:25" ht="24.75" x14ac:dyDescent="0.25">
      <c r="A28" s="5" t="s">
        <v>26</v>
      </c>
      <c r="B28" s="5" t="s">
        <v>27</v>
      </c>
      <c r="C28" s="5" t="s">
        <v>47</v>
      </c>
      <c r="D28" s="5" t="s">
        <v>48</v>
      </c>
      <c r="E28" s="5" t="s">
        <v>28</v>
      </c>
      <c r="F28" s="5" t="s">
        <v>75</v>
      </c>
      <c r="G28" s="5">
        <v>2018</v>
      </c>
      <c r="H28" s="5" t="str">
        <f>CONCATENATE("84240343347")</f>
        <v>84240343347</v>
      </c>
      <c r="I28" s="5" t="s">
        <v>29</v>
      </c>
      <c r="J28" s="5" t="s">
        <v>36</v>
      </c>
      <c r="K28" s="5" t="str">
        <f>CONCATENATE("")</f>
        <v/>
      </c>
      <c r="L28" s="5" t="str">
        <f>CONCATENATE("11 11.2 4b")</f>
        <v>11 11.2 4b</v>
      </c>
      <c r="M28" s="5" t="str">
        <f>CONCATENATE("CPRPRZ70S67F704D")</f>
        <v>CPRPRZ70S67F704D</v>
      </c>
      <c r="N28" s="5" t="s">
        <v>90</v>
      </c>
      <c r="O28" s="5" t="s">
        <v>55</v>
      </c>
      <c r="P28" s="6">
        <v>43927</v>
      </c>
      <c r="Q28" s="5" t="s">
        <v>31</v>
      </c>
      <c r="R28" s="5" t="s">
        <v>32</v>
      </c>
      <c r="S28" s="5" t="s">
        <v>33</v>
      </c>
      <c r="T28" s="5"/>
      <c r="U28" s="5">
        <v>330.44</v>
      </c>
      <c r="V28" s="5">
        <v>142.49</v>
      </c>
      <c r="W28" s="5">
        <v>131.58000000000001</v>
      </c>
      <c r="X28" s="5">
        <v>0</v>
      </c>
      <c r="Y28" s="5">
        <v>56.37</v>
      </c>
    </row>
    <row r="29" spans="1:25" ht="24.75" x14ac:dyDescent="0.25">
      <c r="A29" s="5" t="s">
        <v>26</v>
      </c>
      <c r="B29" s="5" t="s">
        <v>27</v>
      </c>
      <c r="C29" s="5" t="s">
        <v>47</v>
      </c>
      <c r="D29" s="5" t="s">
        <v>52</v>
      </c>
      <c r="E29" s="5" t="s">
        <v>35</v>
      </c>
      <c r="F29" s="5" t="s">
        <v>91</v>
      </c>
      <c r="G29" s="5">
        <v>2019</v>
      </c>
      <c r="H29" s="5" t="str">
        <f>CONCATENATE("94240191927")</f>
        <v>94240191927</v>
      </c>
      <c r="I29" s="5" t="s">
        <v>29</v>
      </c>
      <c r="J29" s="5" t="s">
        <v>36</v>
      </c>
      <c r="K29" s="5" t="str">
        <f>CONCATENATE("")</f>
        <v/>
      </c>
      <c r="L29" s="5" t="str">
        <f>CONCATENATE("11 11.1 4b")</f>
        <v>11 11.1 4b</v>
      </c>
      <c r="M29" s="5" t="str">
        <f>CONCATENATE("CLMTZN79A30B352I")</f>
        <v>CLMTZN79A30B352I</v>
      </c>
      <c r="N29" s="5" t="s">
        <v>92</v>
      </c>
      <c r="O29" s="5" t="s">
        <v>55</v>
      </c>
      <c r="P29" s="6">
        <v>43927</v>
      </c>
      <c r="Q29" s="5" t="s">
        <v>31</v>
      </c>
      <c r="R29" s="5" t="s">
        <v>32</v>
      </c>
      <c r="S29" s="5" t="s">
        <v>33</v>
      </c>
      <c r="T29" s="5"/>
      <c r="U29" s="5">
        <v>924.38</v>
      </c>
      <c r="V29" s="5">
        <v>398.59</v>
      </c>
      <c r="W29" s="5">
        <v>368.09</v>
      </c>
      <c r="X29" s="5">
        <v>0</v>
      </c>
      <c r="Y29" s="5">
        <v>157.69999999999999</v>
      </c>
    </row>
    <row r="30" spans="1:25" ht="24.75" x14ac:dyDescent="0.25">
      <c r="A30" s="5" t="s">
        <v>26</v>
      </c>
      <c r="B30" s="5" t="s">
        <v>27</v>
      </c>
      <c r="C30" s="5" t="s">
        <v>47</v>
      </c>
      <c r="D30" s="5" t="s">
        <v>48</v>
      </c>
      <c r="E30" s="5" t="s">
        <v>46</v>
      </c>
      <c r="F30" s="5" t="s">
        <v>93</v>
      </c>
      <c r="G30" s="5">
        <v>2019</v>
      </c>
      <c r="H30" s="5" t="str">
        <f>CONCATENATE("94241144800")</f>
        <v>94241144800</v>
      </c>
      <c r="I30" s="5" t="s">
        <v>29</v>
      </c>
      <c r="J30" s="5" t="s">
        <v>36</v>
      </c>
      <c r="K30" s="5" t="str">
        <f>CONCATENATE("")</f>
        <v/>
      </c>
      <c r="L30" s="5" t="str">
        <f>CONCATENATE("11 11.2 4b")</f>
        <v>11 11.2 4b</v>
      </c>
      <c r="M30" s="5" t="str">
        <f>CONCATENATE("02781570425")</f>
        <v>02781570425</v>
      </c>
      <c r="N30" s="5" t="s">
        <v>94</v>
      </c>
      <c r="O30" s="5" t="s">
        <v>55</v>
      </c>
      <c r="P30" s="6">
        <v>43927</v>
      </c>
      <c r="Q30" s="5" t="s">
        <v>31</v>
      </c>
      <c r="R30" s="5" t="s">
        <v>32</v>
      </c>
      <c r="S30" s="5" t="s">
        <v>33</v>
      </c>
      <c r="T30" s="5"/>
      <c r="U30" s="7">
        <v>1136.74</v>
      </c>
      <c r="V30" s="5">
        <v>490.16</v>
      </c>
      <c r="W30" s="5">
        <v>452.65</v>
      </c>
      <c r="X30" s="5">
        <v>0</v>
      </c>
      <c r="Y30" s="5">
        <v>193.93</v>
      </c>
    </row>
    <row r="31" spans="1:25" ht="24.75" x14ac:dyDescent="0.25">
      <c r="A31" s="5" t="s">
        <v>26</v>
      </c>
      <c r="B31" s="5" t="s">
        <v>27</v>
      </c>
      <c r="C31" s="5" t="s">
        <v>47</v>
      </c>
      <c r="D31" s="5" t="s">
        <v>48</v>
      </c>
      <c r="E31" s="5" t="s">
        <v>46</v>
      </c>
      <c r="F31" s="5" t="s">
        <v>93</v>
      </c>
      <c r="G31" s="5">
        <v>2019</v>
      </c>
      <c r="H31" s="5" t="str">
        <f>CONCATENATE("94241144735")</f>
        <v>94241144735</v>
      </c>
      <c r="I31" s="5" t="s">
        <v>29</v>
      </c>
      <c r="J31" s="5" t="s">
        <v>36</v>
      </c>
      <c r="K31" s="5" t="str">
        <f>CONCATENATE("")</f>
        <v/>
      </c>
      <c r="L31" s="5" t="str">
        <f>CONCATENATE("11 11.1 4b")</f>
        <v>11 11.1 4b</v>
      </c>
      <c r="M31" s="5" t="str">
        <f>CONCATENATE("02781570425")</f>
        <v>02781570425</v>
      </c>
      <c r="N31" s="5" t="s">
        <v>94</v>
      </c>
      <c r="O31" s="5" t="s">
        <v>55</v>
      </c>
      <c r="P31" s="6">
        <v>43927</v>
      </c>
      <c r="Q31" s="5" t="s">
        <v>31</v>
      </c>
      <c r="R31" s="5" t="s">
        <v>32</v>
      </c>
      <c r="S31" s="5" t="s">
        <v>33</v>
      </c>
      <c r="T31" s="5"/>
      <c r="U31" s="5">
        <v>660.79</v>
      </c>
      <c r="V31" s="5">
        <v>284.93</v>
      </c>
      <c r="W31" s="5">
        <v>263.13</v>
      </c>
      <c r="X31" s="5">
        <v>0</v>
      </c>
      <c r="Y31" s="5">
        <v>112.73</v>
      </c>
    </row>
    <row r="32" spans="1:25" ht="24.75" x14ac:dyDescent="0.25">
      <c r="A32" s="5" t="s">
        <v>26</v>
      </c>
      <c r="B32" s="5" t="s">
        <v>27</v>
      </c>
      <c r="C32" s="5" t="s">
        <v>47</v>
      </c>
      <c r="D32" s="5" t="s">
        <v>48</v>
      </c>
      <c r="E32" s="5" t="s">
        <v>28</v>
      </c>
      <c r="F32" s="5" t="s">
        <v>75</v>
      </c>
      <c r="G32" s="5">
        <v>2018</v>
      </c>
      <c r="H32" s="5" t="str">
        <f>CONCATENATE("84240519938")</f>
        <v>84240519938</v>
      </c>
      <c r="I32" s="5" t="s">
        <v>29</v>
      </c>
      <c r="J32" s="5" t="s">
        <v>36</v>
      </c>
      <c r="K32" s="5" t="str">
        <f>CONCATENATE("")</f>
        <v/>
      </c>
      <c r="L32" s="5" t="str">
        <f>CONCATENATE("11 11.1 4b")</f>
        <v>11 11.1 4b</v>
      </c>
      <c r="M32" s="5" t="str">
        <f>CONCATENATE("CSRGRL58S63A366A")</f>
        <v>CSRGRL58S63A366A</v>
      </c>
      <c r="N32" s="5" t="s">
        <v>95</v>
      </c>
      <c r="O32" s="5" t="s">
        <v>55</v>
      </c>
      <c r="P32" s="6">
        <v>43927</v>
      </c>
      <c r="Q32" s="5" t="s">
        <v>31</v>
      </c>
      <c r="R32" s="5" t="s">
        <v>32</v>
      </c>
      <c r="S32" s="5" t="s">
        <v>33</v>
      </c>
      <c r="T32" s="5"/>
      <c r="U32" s="7">
        <v>1200.18</v>
      </c>
      <c r="V32" s="5">
        <v>517.52</v>
      </c>
      <c r="W32" s="5">
        <v>477.91</v>
      </c>
      <c r="X32" s="5">
        <v>0</v>
      </c>
      <c r="Y32" s="5">
        <v>204.75</v>
      </c>
    </row>
    <row r="33" spans="1:25" ht="24.75" x14ac:dyDescent="0.25">
      <c r="A33" s="5" t="s">
        <v>26</v>
      </c>
      <c r="B33" s="5" t="s">
        <v>27</v>
      </c>
      <c r="C33" s="5" t="s">
        <v>47</v>
      </c>
      <c r="D33" s="5" t="s">
        <v>52</v>
      </c>
      <c r="E33" s="5" t="s">
        <v>39</v>
      </c>
      <c r="F33" s="5" t="s">
        <v>39</v>
      </c>
      <c r="G33" s="5">
        <v>2019</v>
      </c>
      <c r="H33" s="5" t="str">
        <f>CONCATENATE("94240694698")</f>
        <v>94240694698</v>
      </c>
      <c r="I33" s="5" t="s">
        <v>29</v>
      </c>
      <c r="J33" s="5" t="s">
        <v>36</v>
      </c>
      <c r="K33" s="5" t="str">
        <f>CONCATENATE("")</f>
        <v/>
      </c>
      <c r="L33" s="5" t="str">
        <f>CONCATENATE("11 11.2 4b")</f>
        <v>11 11.2 4b</v>
      </c>
      <c r="M33" s="5" t="str">
        <f>CONCATENATE("LRGNTN59B23E785T")</f>
        <v>LRGNTN59B23E785T</v>
      </c>
      <c r="N33" s="5" t="s">
        <v>96</v>
      </c>
      <c r="O33" s="5" t="s">
        <v>55</v>
      </c>
      <c r="P33" s="6">
        <v>43927</v>
      </c>
      <c r="Q33" s="5" t="s">
        <v>31</v>
      </c>
      <c r="R33" s="5" t="s">
        <v>32</v>
      </c>
      <c r="S33" s="5" t="s">
        <v>33</v>
      </c>
      <c r="T33" s="5"/>
      <c r="U33" s="7">
        <v>1384.88</v>
      </c>
      <c r="V33" s="5">
        <v>597.16</v>
      </c>
      <c r="W33" s="5">
        <v>551.46</v>
      </c>
      <c r="X33" s="5">
        <v>0</v>
      </c>
      <c r="Y33" s="5">
        <v>236.26</v>
      </c>
    </row>
    <row r="34" spans="1:25" ht="24.75" x14ac:dyDescent="0.25">
      <c r="A34" s="5" t="s">
        <v>26</v>
      </c>
      <c r="B34" s="5" t="s">
        <v>27</v>
      </c>
      <c r="C34" s="5" t="s">
        <v>47</v>
      </c>
      <c r="D34" s="5" t="s">
        <v>52</v>
      </c>
      <c r="E34" s="5" t="s">
        <v>35</v>
      </c>
      <c r="F34" s="5" t="s">
        <v>66</v>
      </c>
      <c r="G34" s="5">
        <v>2019</v>
      </c>
      <c r="H34" s="5" t="str">
        <f>CONCATENATE("94240452063")</f>
        <v>94240452063</v>
      </c>
      <c r="I34" s="5" t="s">
        <v>43</v>
      </c>
      <c r="J34" s="5" t="s">
        <v>36</v>
      </c>
      <c r="K34" s="5" t="str">
        <f>CONCATENATE("")</f>
        <v/>
      </c>
      <c r="L34" s="5" t="str">
        <f>CONCATENATE("11 11.2 4b")</f>
        <v>11 11.2 4b</v>
      </c>
      <c r="M34" s="5" t="str">
        <f>CONCATENATE("MTTSMN70S19I459M")</f>
        <v>MTTSMN70S19I459M</v>
      </c>
      <c r="N34" s="5" t="s">
        <v>97</v>
      </c>
      <c r="O34" s="5" t="s">
        <v>55</v>
      </c>
      <c r="P34" s="6">
        <v>43927</v>
      </c>
      <c r="Q34" s="5" t="s">
        <v>31</v>
      </c>
      <c r="R34" s="5" t="s">
        <v>32</v>
      </c>
      <c r="S34" s="5" t="s">
        <v>33</v>
      </c>
      <c r="T34" s="5"/>
      <c r="U34" s="5">
        <v>959.8</v>
      </c>
      <c r="V34" s="5">
        <v>413.87</v>
      </c>
      <c r="W34" s="5">
        <v>382.19</v>
      </c>
      <c r="X34" s="5">
        <v>0</v>
      </c>
      <c r="Y34" s="5">
        <v>163.74</v>
      </c>
    </row>
    <row r="35" spans="1:25" ht="24.75" x14ac:dyDescent="0.25">
      <c r="A35" s="5" t="s">
        <v>26</v>
      </c>
      <c r="B35" s="5" t="s">
        <v>27</v>
      </c>
      <c r="C35" s="5" t="s">
        <v>47</v>
      </c>
      <c r="D35" s="5" t="s">
        <v>52</v>
      </c>
      <c r="E35" s="5" t="s">
        <v>28</v>
      </c>
      <c r="F35" s="5" t="s">
        <v>98</v>
      </c>
      <c r="G35" s="5">
        <v>2018</v>
      </c>
      <c r="H35" s="5" t="str">
        <f>CONCATENATE("84240724181")</f>
        <v>84240724181</v>
      </c>
      <c r="I35" s="5" t="s">
        <v>29</v>
      </c>
      <c r="J35" s="5" t="s">
        <v>36</v>
      </c>
      <c r="K35" s="5" t="str">
        <f>CONCATENATE("")</f>
        <v/>
      </c>
      <c r="L35" s="5" t="str">
        <f>CONCATENATE("11 11.1 4b")</f>
        <v>11 11.1 4b</v>
      </c>
      <c r="M35" s="5" t="str">
        <f>CONCATENATE("RCNLNE87B67I459B")</f>
        <v>RCNLNE87B67I459B</v>
      </c>
      <c r="N35" s="5" t="s">
        <v>99</v>
      </c>
      <c r="O35" s="5" t="s">
        <v>55</v>
      </c>
      <c r="P35" s="6">
        <v>43927</v>
      </c>
      <c r="Q35" s="5" t="s">
        <v>31</v>
      </c>
      <c r="R35" s="5" t="s">
        <v>32</v>
      </c>
      <c r="S35" s="5" t="s">
        <v>33</v>
      </c>
      <c r="T35" s="5"/>
      <c r="U35" s="5">
        <v>216.26</v>
      </c>
      <c r="V35" s="5">
        <v>93.25</v>
      </c>
      <c r="W35" s="5">
        <v>86.11</v>
      </c>
      <c r="X35" s="5">
        <v>0</v>
      </c>
      <c r="Y35" s="5">
        <v>36.9</v>
      </c>
    </row>
    <row r="36" spans="1:25" ht="24.75" x14ac:dyDescent="0.25">
      <c r="A36" s="5" t="s">
        <v>26</v>
      </c>
      <c r="B36" s="5" t="s">
        <v>27</v>
      </c>
      <c r="C36" s="5" t="s">
        <v>47</v>
      </c>
      <c r="D36" s="5" t="s">
        <v>52</v>
      </c>
      <c r="E36" s="5" t="s">
        <v>28</v>
      </c>
      <c r="F36" s="5" t="s">
        <v>60</v>
      </c>
      <c r="G36" s="5">
        <v>2019</v>
      </c>
      <c r="H36" s="5" t="str">
        <f>CONCATENATE("94240222912")</f>
        <v>94240222912</v>
      </c>
      <c r="I36" s="5" t="s">
        <v>29</v>
      </c>
      <c r="J36" s="5" t="s">
        <v>36</v>
      </c>
      <c r="K36" s="5" t="str">
        <f>CONCATENATE("")</f>
        <v/>
      </c>
      <c r="L36" s="5" t="str">
        <f>CONCATENATE("11 11.1 4b")</f>
        <v>11 11.1 4b</v>
      </c>
      <c r="M36" s="5" t="str">
        <f>CONCATENATE("CLLLCN61D41I287K")</f>
        <v>CLLLCN61D41I287K</v>
      </c>
      <c r="N36" s="5" t="s">
        <v>100</v>
      </c>
      <c r="O36" s="5" t="s">
        <v>55</v>
      </c>
      <c r="P36" s="6">
        <v>43927</v>
      </c>
      <c r="Q36" s="5" t="s">
        <v>31</v>
      </c>
      <c r="R36" s="5" t="s">
        <v>32</v>
      </c>
      <c r="S36" s="5" t="s">
        <v>33</v>
      </c>
      <c r="T36" s="5"/>
      <c r="U36" s="5">
        <v>327.08999999999997</v>
      </c>
      <c r="V36" s="5">
        <v>141.04</v>
      </c>
      <c r="W36" s="5">
        <v>130.25</v>
      </c>
      <c r="X36" s="5">
        <v>0</v>
      </c>
      <c r="Y36" s="5">
        <v>55.8</v>
      </c>
    </row>
    <row r="37" spans="1:25" ht="24.75" x14ac:dyDescent="0.25">
      <c r="A37" s="5" t="s">
        <v>26</v>
      </c>
      <c r="B37" s="5" t="s">
        <v>27</v>
      </c>
      <c r="C37" s="5" t="s">
        <v>47</v>
      </c>
      <c r="D37" s="5" t="s">
        <v>52</v>
      </c>
      <c r="E37" s="5" t="s">
        <v>35</v>
      </c>
      <c r="F37" s="5" t="s">
        <v>66</v>
      </c>
      <c r="G37" s="5">
        <v>2019</v>
      </c>
      <c r="H37" s="5" t="str">
        <f>CONCATENATE("94241156507")</f>
        <v>94241156507</v>
      </c>
      <c r="I37" s="5" t="s">
        <v>29</v>
      </c>
      <c r="J37" s="5" t="s">
        <v>36</v>
      </c>
      <c r="K37" s="5" t="str">
        <f>CONCATENATE("")</f>
        <v/>
      </c>
      <c r="L37" s="5" t="str">
        <f>CONCATENATE("11 11.1 4b")</f>
        <v>11 11.1 4b</v>
      </c>
      <c r="M37" s="5" t="str">
        <f>CONCATENATE("PSQNNZ43H64B816J")</f>
        <v>PSQNNZ43H64B816J</v>
      </c>
      <c r="N37" s="5" t="s">
        <v>101</v>
      </c>
      <c r="O37" s="5" t="s">
        <v>55</v>
      </c>
      <c r="P37" s="6">
        <v>43927</v>
      </c>
      <c r="Q37" s="5" t="s">
        <v>31</v>
      </c>
      <c r="R37" s="5" t="s">
        <v>32</v>
      </c>
      <c r="S37" s="5" t="s">
        <v>33</v>
      </c>
      <c r="T37" s="5"/>
      <c r="U37" s="7">
        <v>1584.8</v>
      </c>
      <c r="V37" s="5">
        <v>683.37</v>
      </c>
      <c r="W37" s="5">
        <v>631.07000000000005</v>
      </c>
      <c r="X37" s="5">
        <v>0</v>
      </c>
      <c r="Y37" s="5">
        <v>270.36</v>
      </c>
    </row>
    <row r="38" spans="1:25" ht="24.75" x14ac:dyDescent="0.25">
      <c r="A38" s="5" t="s">
        <v>26</v>
      </c>
      <c r="B38" s="5" t="s">
        <v>27</v>
      </c>
      <c r="C38" s="5" t="s">
        <v>47</v>
      </c>
      <c r="D38" s="5" t="s">
        <v>102</v>
      </c>
      <c r="E38" s="5" t="s">
        <v>35</v>
      </c>
      <c r="F38" s="5" t="s">
        <v>103</v>
      </c>
      <c r="G38" s="5">
        <v>2018</v>
      </c>
      <c r="H38" s="5" t="str">
        <f>CONCATENATE("84240603336")</f>
        <v>84240603336</v>
      </c>
      <c r="I38" s="5" t="s">
        <v>43</v>
      </c>
      <c r="J38" s="5" t="s">
        <v>36</v>
      </c>
      <c r="K38" s="5" t="str">
        <f>CONCATENATE("")</f>
        <v/>
      </c>
      <c r="L38" s="5" t="str">
        <f>CONCATENATE("11 11.2 4b")</f>
        <v>11 11.2 4b</v>
      </c>
      <c r="M38" s="5" t="str">
        <f>CONCATENATE("FRRDNC53A18F044P")</f>
        <v>FRRDNC53A18F044P</v>
      </c>
      <c r="N38" s="5" t="s">
        <v>104</v>
      </c>
      <c r="O38" s="5" t="s">
        <v>55</v>
      </c>
      <c r="P38" s="6">
        <v>43927</v>
      </c>
      <c r="Q38" s="5" t="s">
        <v>31</v>
      </c>
      <c r="R38" s="5" t="s">
        <v>32</v>
      </c>
      <c r="S38" s="5" t="s">
        <v>33</v>
      </c>
      <c r="T38" s="5"/>
      <c r="U38" s="7">
        <v>1305.6300000000001</v>
      </c>
      <c r="V38" s="5">
        <v>562.99</v>
      </c>
      <c r="W38" s="5">
        <v>519.9</v>
      </c>
      <c r="X38" s="5">
        <v>0</v>
      </c>
      <c r="Y38" s="5">
        <v>222.74</v>
      </c>
    </row>
    <row r="39" spans="1:25" ht="24.75" x14ac:dyDescent="0.25">
      <c r="A39" s="5" t="s">
        <v>26</v>
      </c>
      <c r="B39" s="5" t="s">
        <v>27</v>
      </c>
      <c r="C39" s="5" t="s">
        <v>47</v>
      </c>
      <c r="D39" s="5" t="s">
        <v>102</v>
      </c>
      <c r="E39" s="5" t="s">
        <v>35</v>
      </c>
      <c r="F39" s="5" t="s">
        <v>103</v>
      </c>
      <c r="G39" s="5">
        <v>2019</v>
      </c>
      <c r="H39" s="5" t="str">
        <f>CONCATENATE("94240928120")</f>
        <v>94240928120</v>
      </c>
      <c r="I39" s="5" t="s">
        <v>29</v>
      </c>
      <c r="J39" s="5" t="s">
        <v>36</v>
      </c>
      <c r="K39" s="5" t="str">
        <f>CONCATENATE("")</f>
        <v/>
      </c>
      <c r="L39" s="5" t="str">
        <f>CONCATENATE("11 11.2 4b")</f>
        <v>11 11.2 4b</v>
      </c>
      <c r="M39" s="5" t="str">
        <f>CONCATENATE("FRRDNC53A18F044P")</f>
        <v>FRRDNC53A18F044P</v>
      </c>
      <c r="N39" s="5" t="s">
        <v>104</v>
      </c>
      <c r="O39" s="5" t="s">
        <v>55</v>
      </c>
      <c r="P39" s="6">
        <v>43927</v>
      </c>
      <c r="Q39" s="5" t="s">
        <v>31</v>
      </c>
      <c r="R39" s="5" t="s">
        <v>32</v>
      </c>
      <c r="S39" s="5" t="s">
        <v>33</v>
      </c>
      <c r="T39" s="5"/>
      <c r="U39" s="7">
        <v>2367</v>
      </c>
      <c r="V39" s="7">
        <v>1020.65</v>
      </c>
      <c r="W39" s="5">
        <v>942.54</v>
      </c>
      <c r="X39" s="5">
        <v>0</v>
      </c>
      <c r="Y39" s="5">
        <v>403.81</v>
      </c>
    </row>
    <row r="40" spans="1:25" ht="24.75" x14ac:dyDescent="0.25">
      <c r="A40" s="5" t="s">
        <v>26</v>
      </c>
      <c r="B40" s="5" t="s">
        <v>27</v>
      </c>
      <c r="C40" s="5" t="s">
        <v>47</v>
      </c>
      <c r="D40" s="5" t="s">
        <v>102</v>
      </c>
      <c r="E40" s="5" t="s">
        <v>39</v>
      </c>
      <c r="F40" s="5" t="s">
        <v>39</v>
      </c>
      <c r="G40" s="5">
        <v>2017</v>
      </c>
      <c r="H40" s="5" t="str">
        <f>CONCATENATE("74240171970")</f>
        <v>74240171970</v>
      </c>
      <c r="I40" s="5" t="s">
        <v>29</v>
      </c>
      <c r="J40" s="5" t="s">
        <v>36</v>
      </c>
      <c r="K40" s="5" t="str">
        <f>CONCATENATE("")</f>
        <v/>
      </c>
      <c r="L40" s="5" t="str">
        <f>CONCATENATE("11 11.2 4b")</f>
        <v>11 11.2 4b</v>
      </c>
      <c r="M40" s="5" t="str">
        <f>CONCATENATE("SLVTMS53D28C321N")</f>
        <v>SLVTMS53D28C321N</v>
      </c>
      <c r="N40" s="5" t="s">
        <v>105</v>
      </c>
      <c r="O40" s="5" t="s">
        <v>55</v>
      </c>
      <c r="P40" s="6">
        <v>43927</v>
      </c>
      <c r="Q40" s="5" t="s">
        <v>31</v>
      </c>
      <c r="R40" s="5" t="s">
        <v>32</v>
      </c>
      <c r="S40" s="5" t="s">
        <v>33</v>
      </c>
      <c r="T40" s="5"/>
      <c r="U40" s="7">
        <v>3662.65</v>
      </c>
      <c r="V40" s="7">
        <v>1579.33</v>
      </c>
      <c r="W40" s="7">
        <v>1458.47</v>
      </c>
      <c r="X40" s="5">
        <v>0</v>
      </c>
      <c r="Y40" s="5">
        <v>624.85</v>
      </c>
    </row>
    <row r="41" spans="1:25" ht="24.75" x14ac:dyDescent="0.25">
      <c r="A41" s="5" t="s">
        <v>26</v>
      </c>
      <c r="B41" s="5" t="s">
        <v>27</v>
      </c>
      <c r="C41" s="5" t="s">
        <v>47</v>
      </c>
      <c r="D41" s="5" t="s">
        <v>102</v>
      </c>
      <c r="E41" s="5" t="s">
        <v>39</v>
      </c>
      <c r="F41" s="5" t="s">
        <v>39</v>
      </c>
      <c r="G41" s="5">
        <v>2018</v>
      </c>
      <c r="H41" s="5" t="str">
        <f>CONCATENATE("84241045388")</f>
        <v>84241045388</v>
      </c>
      <c r="I41" s="5" t="s">
        <v>29</v>
      </c>
      <c r="J41" s="5" t="s">
        <v>36</v>
      </c>
      <c r="K41" s="5" t="str">
        <f>CONCATENATE("")</f>
        <v/>
      </c>
      <c r="L41" s="5" t="str">
        <f>CONCATENATE("11 11.2 4b")</f>
        <v>11 11.2 4b</v>
      </c>
      <c r="M41" s="5" t="str">
        <f>CONCATENATE("SLVTMS53D28C321N")</f>
        <v>SLVTMS53D28C321N</v>
      </c>
      <c r="N41" s="5" t="s">
        <v>105</v>
      </c>
      <c r="O41" s="5" t="s">
        <v>55</v>
      </c>
      <c r="P41" s="6">
        <v>43927</v>
      </c>
      <c r="Q41" s="5" t="s">
        <v>31</v>
      </c>
      <c r="R41" s="5" t="s">
        <v>32</v>
      </c>
      <c r="S41" s="5" t="s">
        <v>33</v>
      </c>
      <c r="T41" s="5"/>
      <c r="U41" s="7">
        <v>3662.6</v>
      </c>
      <c r="V41" s="7">
        <v>1579.31</v>
      </c>
      <c r="W41" s="7">
        <v>1458.45</v>
      </c>
      <c r="X41" s="5">
        <v>0</v>
      </c>
      <c r="Y41" s="5">
        <v>624.84</v>
      </c>
    </row>
    <row r="42" spans="1:25" ht="24.75" x14ac:dyDescent="0.25">
      <c r="A42" s="5" t="s">
        <v>26</v>
      </c>
      <c r="B42" s="5" t="s">
        <v>27</v>
      </c>
      <c r="C42" s="5" t="s">
        <v>47</v>
      </c>
      <c r="D42" s="5" t="s">
        <v>48</v>
      </c>
      <c r="E42" s="5" t="s">
        <v>38</v>
      </c>
      <c r="F42" s="5" t="s">
        <v>81</v>
      </c>
      <c r="G42" s="5">
        <v>2018</v>
      </c>
      <c r="H42" s="5" t="str">
        <f>CONCATENATE("84240664536")</f>
        <v>84240664536</v>
      </c>
      <c r="I42" s="5" t="s">
        <v>29</v>
      </c>
      <c r="J42" s="5" t="s">
        <v>36</v>
      </c>
      <c r="K42" s="5" t="str">
        <f>CONCATENATE("")</f>
        <v/>
      </c>
      <c r="L42" s="5" t="str">
        <f>CONCATENATE("11 11.2 4b")</f>
        <v>11 11.2 4b</v>
      </c>
      <c r="M42" s="5" t="str">
        <f>CONCATENATE("BDNMGH88T61D488N")</f>
        <v>BDNMGH88T61D488N</v>
      </c>
      <c r="N42" s="5" t="s">
        <v>82</v>
      </c>
      <c r="O42" s="5" t="s">
        <v>55</v>
      </c>
      <c r="P42" s="6">
        <v>43927</v>
      </c>
      <c r="Q42" s="5" t="s">
        <v>31</v>
      </c>
      <c r="R42" s="5" t="s">
        <v>32</v>
      </c>
      <c r="S42" s="5" t="s">
        <v>33</v>
      </c>
      <c r="T42" s="5"/>
      <c r="U42" s="7">
        <v>7706.08</v>
      </c>
      <c r="V42" s="7">
        <v>3322.86</v>
      </c>
      <c r="W42" s="7">
        <v>3068.56</v>
      </c>
      <c r="X42" s="5">
        <v>0</v>
      </c>
      <c r="Y42" s="7">
        <v>1314.66</v>
      </c>
    </row>
    <row r="43" spans="1:25" ht="24.75" x14ac:dyDescent="0.25">
      <c r="A43" s="5" t="s">
        <v>26</v>
      </c>
      <c r="B43" s="5" t="s">
        <v>27</v>
      </c>
      <c r="C43" s="5" t="s">
        <v>47</v>
      </c>
      <c r="D43" s="5" t="s">
        <v>48</v>
      </c>
      <c r="E43" s="5" t="s">
        <v>38</v>
      </c>
      <c r="F43" s="5" t="s">
        <v>81</v>
      </c>
      <c r="G43" s="5">
        <v>2019</v>
      </c>
      <c r="H43" s="5" t="str">
        <f>CONCATENATE("94241055949")</f>
        <v>94241055949</v>
      </c>
      <c r="I43" s="5" t="s">
        <v>29</v>
      </c>
      <c r="J43" s="5" t="s">
        <v>36</v>
      </c>
      <c r="K43" s="5" t="str">
        <f>CONCATENATE("")</f>
        <v/>
      </c>
      <c r="L43" s="5" t="str">
        <f>CONCATENATE("11 11.2 4b")</f>
        <v>11 11.2 4b</v>
      </c>
      <c r="M43" s="5" t="str">
        <f>CONCATENATE("DMRLCN50T52D488C")</f>
        <v>DMRLCN50T52D488C</v>
      </c>
      <c r="N43" s="5" t="s">
        <v>106</v>
      </c>
      <c r="O43" s="5" t="s">
        <v>55</v>
      </c>
      <c r="P43" s="6">
        <v>43927</v>
      </c>
      <c r="Q43" s="5" t="s">
        <v>31</v>
      </c>
      <c r="R43" s="5" t="s">
        <v>32</v>
      </c>
      <c r="S43" s="5" t="s">
        <v>33</v>
      </c>
      <c r="T43" s="5"/>
      <c r="U43" s="7">
        <v>1995.86</v>
      </c>
      <c r="V43" s="5">
        <v>860.61</v>
      </c>
      <c r="W43" s="5">
        <v>794.75</v>
      </c>
      <c r="X43" s="5">
        <v>0</v>
      </c>
      <c r="Y43" s="5">
        <v>340.5</v>
      </c>
    </row>
    <row r="44" spans="1:25" ht="24.75" x14ac:dyDescent="0.25">
      <c r="A44" s="5" t="s">
        <v>26</v>
      </c>
      <c r="B44" s="5" t="s">
        <v>27</v>
      </c>
      <c r="C44" s="5" t="s">
        <v>47</v>
      </c>
      <c r="D44" s="5" t="s">
        <v>48</v>
      </c>
      <c r="E44" s="5" t="s">
        <v>38</v>
      </c>
      <c r="F44" s="5" t="s">
        <v>58</v>
      </c>
      <c r="G44" s="5">
        <v>2019</v>
      </c>
      <c r="H44" s="5" t="str">
        <f>CONCATENATE("94241164352")</f>
        <v>94241164352</v>
      </c>
      <c r="I44" s="5" t="s">
        <v>29</v>
      </c>
      <c r="J44" s="5" t="s">
        <v>36</v>
      </c>
      <c r="K44" s="5" t="str">
        <f>CONCATENATE("")</f>
        <v/>
      </c>
      <c r="L44" s="5" t="str">
        <f>CONCATENATE("11 11.2 4b")</f>
        <v>11 11.2 4b</v>
      </c>
      <c r="M44" s="5" t="str">
        <f>CONCATENATE("01776160432")</f>
        <v>01776160432</v>
      </c>
      <c r="N44" s="5" t="s">
        <v>107</v>
      </c>
      <c r="O44" s="5" t="s">
        <v>55</v>
      </c>
      <c r="P44" s="6">
        <v>43927</v>
      </c>
      <c r="Q44" s="5" t="s">
        <v>31</v>
      </c>
      <c r="R44" s="5" t="s">
        <v>32</v>
      </c>
      <c r="S44" s="5" t="s">
        <v>33</v>
      </c>
      <c r="T44" s="5"/>
      <c r="U44" s="5">
        <v>261.3</v>
      </c>
      <c r="V44" s="5">
        <v>112.67</v>
      </c>
      <c r="W44" s="5">
        <v>104.05</v>
      </c>
      <c r="X44" s="5">
        <v>0</v>
      </c>
      <c r="Y44" s="5">
        <v>44.58</v>
      </c>
    </row>
    <row r="45" spans="1:25" ht="24.75" x14ac:dyDescent="0.25">
      <c r="A45" s="5" t="s">
        <v>26</v>
      </c>
      <c r="B45" s="5" t="s">
        <v>27</v>
      </c>
      <c r="C45" s="5" t="s">
        <v>47</v>
      </c>
      <c r="D45" s="5" t="s">
        <v>52</v>
      </c>
      <c r="E45" s="5" t="s">
        <v>35</v>
      </c>
      <c r="F45" s="5" t="s">
        <v>108</v>
      </c>
      <c r="G45" s="5">
        <v>2018</v>
      </c>
      <c r="H45" s="5" t="str">
        <f>CONCATENATE("84240839252")</f>
        <v>84240839252</v>
      </c>
      <c r="I45" s="5" t="s">
        <v>29</v>
      </c>
      <c r="J45" s="5" t="s">
        <v>36</v>
      </c>
      <c r="K45" s="5" t="str">
        <f>CONCATENATE("")</f>
        <v/>
      </c>
      <c r="L45" s="5" t="str">
        <f>CONCATENATE("11 11.2 4b")</f>
        <v>11 11.2 4b</v>
      </c>
      <c r="M45" s="5" t="str">
        <f>CONCATENATE("02233160510")</f>
        <v>02233160510</v>
      </c>
      <c r="N45" s="5" t="s">
        <v>109</v>
      </c>
      <c r="O45" s="5" t="s">
        <v>55</v>
      </c>
      <c r="P45" s="6">
        <v>43927</v>
      </c>
      <c r="Q45" s="5" t="s">
        <v>31</v>
      </c>
      <c r="R45" s="5" t="s">
        <v>32</v>
      </c>
      <c r="S45" s="5" t="s">
        <v>33</v>
      </c>
      <c r="T45" s="5"/>
      <c r="U45" s="5">
        <v>516.76</v>
      </c>
      <c r="V45" s="5">
        <v>222.83</v>
      </c>
      <c r="W45" s="5">
        <v>205.77</v>
      </c>
      <c r="X45" s="5">
        <v>0</v>
      </c>
      <c r="Y45" s="5">
        <v>88.16</v>
      </c>
    </row>
    <row r="46" spans="1:25" ht="24.75" x14ac:dyDescent="0.25">
      <c r="A46" s="5" t="s">
        <v>26</v>
      </c>
      <c r="B46" s="5" t="s">
        <v>27</v>
      </c>
      <c r="C46" s="5" t="s">
        <v>47</v>
      </c>
      <c r="D46" s="5" t="s">
        <v>48</v>
      </c>
      <c r="E46" s="5" t="s">
        <v>28</v>
      </c>
      <c r="F46" s="5" t="s">
        <v>110</v>
      </c>
      <c r="G46" s="5">
        <v>2019</v>
      </c>
      <c r="H46" s="5" t="str">
        <f>CONCATENATE("94240272453")</f>
        <v>94240272453</v>
      </c>
      <c r="I46" s="5" t="s">
        <v>29</v>
      </c>
      <c r="J46" s="5" t="s">
        <v>36</v>
      </c>
      <c r="K46" s="5" t="str">
        <f>CONCATENATE("")</f>
        <v/>
      </c>
      <c r="L46" s="5" t="str">
        <f>CONCATENATE("11 11.1 4b")</f>
        <v>11 11.1 4b</v>
      </c>
      <c r="M46" s="5" t="str">
        <f>CONCATENATE("TDRFNC80H08E388P")</f>
        <v>TDRFNC80H08E388P</v>
      </c>
      <c r="N46" s="5" t="s">
        <v>111</v>
      </c>
      <c r="O46" s="5" t="s">
        <v>55</v>
      </c>
      <c r="P46" s="6">
        <v>43927</v>
      </c>
      <c r="Q46" s="5" t="s">
        <v>31</v>
      </c>
      <c r="R46" s="5" t="s">
        <v>32</v>
      </c>
      <c r="S46" s="5" t="s">
        <v>33</v>
      </c>
      <c r="T46" s="5"/>
      <c r="U46" s="7">
        <v>4591.55</v>
      </c>
      <c r="V46" s="7">
        <v>1979.88</v>
      </c>
      <c r="W46" s="7">
        <v>1828.36</v>
      </c>
      <c r="X46" s="5">
        <v>0</v>
      </c>
      <c r="Y46" s="5">
        <v>783.31</v>
      </c>
    </row>
    <row r="47" spans="1:25" ht="24.75" x14ac:dyDescent="0.25">
      <c r="A47" s="5" t="s">
        <v>26</v>
      </c>
      <c r="B47" s="5" t="s">
        <v>27</v>
      </c>
      <c r="C47" s="5" t="s">
        <v>47</v>
      </c>
      <c r="D47" s="5" t="s">
        <v>102</v>
      </c>
      <c r="E47" s="5" t="s">
        <v>35</v>
      </c>
      <c r="F47" s="5" t="s">
        <v>112</v>
      </c>
      <c r="G47" s="5">
        <v>2018</v>
      </c>
      <c r="H47" s="5" t="str">
        <f>CONCATENATE("84240865158")</f>
        <v>84240865158</v>
      </c>
      <c r="I47" s="5" t="s">
        <v>29</v>
      </c>
      <c r="J47" s="5" t="s">
        <v>36</v>
      </c>
      <c r="K47" s="5" t="str">
        <f>CONCATENATE("")</f>
        <v/>
      </c>
      <c r="L47" s="5" t="str">
        <f>CONCATENATE("11 11.2 4b")</f>
        <v>11 11.2 4b</v>
      </c>
      <c r="M47" s="5" t="str">
        <f>CONCATENATE("MRZMRA42P11A462J")</f>
        <v>MRZMRA42P11A462J</v>
      </c>
      <c r="N47" s="5" t="s">
        <v>113</v>
      </c>
      <c r="O47" s="5" t="s">
        <v>55</v>
      </c>
      <c r="P47" s="6">
        <v>43927</v>
      </c>
      <c r="Q47" s="5" t="s">
        <v>31</v>
      </c>
      <c r="R47" s="5" t="s">
        <v>32</v>
      </c>
      <c r="S47" s="5" t="s">
        <v>33</v>
      </c>
      <c r="T47" s="5"/>
      <c r="U47" s="7">
        <v>1798.34</v>
      </c>
      <c r="V47" s="5">
        <v>775.44</v>
      </c>
      <c r="W47" s="5">
        <v>716.1</v>
      </c>
      <c r="X47" s="5">
        <v>0</v>
      </c>
      <c r="Y47" s="5">
        <v>306.8</v>
      </c>
    </row>
    <row r="48" spans="1:25" ht="24.75" x14ac:dyDescent="0.25">
      <c r="A48" s="5" t="s">
        <v>26</v>
      </c>
      <c r="B48" s="5" t="s">
        <v>27</v>
      </c>
      <c r="C48" s="5" t="s">
        <v>47</v>
      </c>
      <c r="D48" s="5" t="s">
        <v>48</v>
      </c>
      <c r="E48" s="5" t="s">
        <v>38</v>
      </c>
      <c r="F48" s="5" t="s">
        <v>81</v>
      </c>
      <c r="G48" s="5">
        <v>2019</v>
      </c>
      <c r="H48" s="5" t="str">
        <f>CONCATENATE("94241055204")</f>
        <v>94241055204</v>
      </c>
      <c r="I48" s="5" t="s">
        <v>29</v>
      </c>
      <c r="J48" s="5" t="s">
        <v>36</v>
      </c>
      <c r="K48" s="5" t="str">
        <f>CONCATENATE("")</f>
        <v/>
      </c>
      <c r="L48" s="5" t="str">
        <f>CONCATENATE("11 11.2 4b")</f>
        <v>11 11.2 4b</v>
      </c>
      <c r="M48" s="5" t="str">
        <f>CONCATENATE("BDNMGH88T61D488N")</f>
        <v>BDNMGH88T61D488N</v>
      </c>
      <c r="N48" s="5" t="s">
        <v>82</v>
      </c>
      <c r="O48" s="5" t="s">
        <v>55</v>
      </c>
      <c r="P48" s="6">
        <v>43927</v>
      </c>
      <c r="Q48" s="5" t="s">
        <v>31</v>
      </c>
      <c r="R48" s="5" t="s">
        <v>32</v>
      </c>
      <c r="S48" s="5" t="s">
        <v>33</v>
      </c>
      <c r="T48" s="5"/>
      <c r="U48" s="7">
        <v>5329.19</v>
      </c>
      <c r="V48" s="7">
        <v>2297.9499999999998</v>
      </c>
      <c r="W48" s="7">
        <v>2122.08</v>
      </c>
      <c r="X48" s="5">
        <v>0</v>
      </c>
      <c r="Y48" s="5">
        <v>909.16</v>
      </c>
    </row>
    <row r="49" spans="1:25" ht="24.75" x14ac:dyDescent="0.25">
      <c r="A49" s="5" t="s">
        <v>26</v>
      </c>
      <c r="B49" s="5" t="s">
        <v>27</v>
      </c>
      <c r="C49" s="5" t="s">
        <v>47</v>
      </c>
      <c r="D49" s="5" t="s">
        <v>48</v>
      </c>
      <c r="E49" s="5" t="s">
        <v>38</v>
      </c>
      <c r="F49" s="5" t="s">
        <v>58</v>
      </c>
      <c r="G49" s="5">
        <v>2019</v>
      </c>
      <c r="H49" s="5" t="str">
        <f>CONCATENATE("94241164444")</f>
        <v>94241164444</v>
      </c>
      <c r="I49" s="5" t="s">
        <v>29</v>
      </c>
      <c r="J49" s="5" t="s">
        <v>36</v>
      </c>
      <c r="K49" s="5" t="str">
        <f>CONCATENATE("")</f>
        <v/>
      </c>
      <c r="L49" s="5" t="str">
        <f>CONCATENATE("11 11.2 4b")</f>
        <v>11 11.2 4b</v>
      </c>
      <c r="M49" s="5" t="str">
        <f>CONCATENATE("01776160432")</f>
        <v>01776160432</v>
      </c>
      <c r="N49" s="5" t="s">
        <v>107</v>
      </c>
      <c r="O49" s="5" t="s">
        <v>55</v>
      </c>
      <c r="P49" s="6">
        <v>43927</v>
      </c>
      <c r="Q49" s="5" t="s">
        <v>31</v>
      </c>
      <c r="R49" s="5" t="s">
        <v>32</v>
      </c>
      <c r="S49" s="5" t="s">
        <v>33</v>
      </c>
      <c r="T49" s="5"/>
      <c r="U49" s="7">
        <v>2075.4</v>
      </c>
      <c r="V49" s="5">
        <v>894.91</v>
      </c>
      <c r="W49" s="5">
        <v>826.42</v>
      </c>
      <c r="X49" s="5">
        <v>0</v>
      </c>
      <c r="Y49" s="5">
        <v>354.07</v>
      </c>
    </row>
    <row r="50" spans="1:25" ht="24.75" x14ac:dyDescent="0.25">
      <c r="A50" s="5" t="s">
        <v>26</v>
      </c>
      <c r="B50" s="5" t="s">
        <v>27</v>
      </c>
      <c r="C50" s="5" t="s">
        <v>47</v>
      </c>
      <c r="D50" s="5" t="s">
        <v>48</v>
      </c>
      <c r="E50" s="5" t="s">
        <v>28</v>
      </c>
      <c r="F50" s="5" t="s">
        <v>110</v>
      </c>
      <c r="G50" s="5">
        <v>2018</v>
      </c>
      <c r="H50" s="5" t="str">
        <f>CONCATENATE("84240489389")</f>
        <v>84240489389</v>
      </c>
      <c r="I50" s="5" t="s">
        <v>29</v>
      </c>
      <c r="J50" s="5" t="s">
        <v>36</v>
      </c>
      <c r="K50" s="5" t="str">
        <f>CONCATENATE("")</f>
        <v/>
      </c>
      <c r="L50" s="5" t="str">
        <f>CONCATENATE("11 11.1 4b")</f>
        <v>11 11.1 4b</v>
      </c>
      <c r="M50" s="5" t="str">
        <f>CONCATENATE("TDRFNC80H08E388P")</f>
        <v>TDRFNC80H08E388P</v>
      </c>
      <c r="N50" s="5" t="s">
        <v>111</v>
      </c>
      <c r="O50" s="5" t="s">
        <v>55</v>
      </c>
      <c r="P50" s="6">
        <v>43927</v>
      </c>
      <c r="Q50" s="5" t="s">
        <v>31</v>
      </c>
      <c r="R50" s="5" t="s">
        <v>32</v>
      </c>
      <c r="S50" s="5" t="s">
        <v>33</v>
      </c>
      <c r="T50" s="5"/>
      <c r="U50" s="5">
        <v>970.17</v>
      </c>
      <c r="V50" s="5">
        <v>418.34</v>
      </c>
      <c r="W50" s="5">
        <v>386.32</v>
      </c>
      <c r="X50" s="5">
        <v>0</v>
      </c>
      <c r="Y50" s="5">
        <v>165.51</v>
      </c>
    </row>
    <row r="51" spans="1:25" ht="24.75" x14ac:dyDescent="0.25">
      <c r="A51" s="5" t="s">
        <v>26</v>
      </c>
      <c r="B51" s="5" t="s">
        <v>27</v>
      </c>
      <c r="C51" s="5" t="s">
        <v>47</v>
      </c>
      <c r="D51" s="5" t="s">
        <v>52</v>
      </c>
      <c r="E51" s="5" t="s">
        <v>35</v>
      </c>
      <c r="F51" s="5" t="s">
        <v>56</v>
      </c>
      <c r="G51" s="5">
        <v>2018</v>
      </c>
      <c r="H51" s="5" t="str">
        <f>CONCATENATE("84240473599")</f>
        <v>84240473599</v>
      </c>
      <c r="I51" s="5" t="s">
        <v>43</v>
      </c>
      <c r="J51" s="5" t="s">
        <v>36</v>
      </c>
      <c r="K51" s="5" t="str">
        <f>CONCATENATE("")</f>
        <v/>
      </c>
      <c r="L51" s="5" t="str">
        <f>CONCATENATE("11 11.2 4b")</f>
        <v>11 11.2 4b</v>
      </c>
      <c r="M51" s="5" t="str">
        <f>CONCATENATE("VDVCLD55L19D749R")</f>
        <v>VDVCLD55L19D749R</v>
      </c>
      <c r="N51" s="5" t="s">
        <v>114</v>
      </c>
      <c r="O51" s="5" t="s">
        <v>55</v>
      </c>
      <c r="P51" s="6">
        <v>43927</v>
      </c>
      <c r="Q51" s="5" t="s">
        <v>31</v>
      </c>
      <c r="R51" s="5" t="s">
        <v>32</v>
      </c>
      <c r="S51" s="5" t="s">
        <v>33</v>
      </c>
      <c r="T51" s="5"/>
      <c r="U51" s="7">
        <v>1814.89</v>
      </c>
      <c r="V51" s="5">
        <v>782.58</v>
      </c>
      <c r="W51" s="5">
        <v>722.69</v>
      </c>
      <c r="X51" s="5">
        <v>0</v>
      </c>
      <c r="Y51" s="5">
        <v>309.62</v>
      </c>
    </row>
    <row r="52" spans="1:25" ht="24.75" x14ac:dyDescent="0.25">
      <c r="A52" s="5" t="s">
        <v>26</v>
      </c>
      <c r="B52" s="5" t="s">
        <v>27</v>
      </c>
      <c r="C52" s="5" t="s">
        <v>47</v>
      </c>
      <c r="D52" s="5" t="s">
        <v>52</v>
      </c>
      <c r="E52" s="5" t="s">
        <v>35</v>
      </c>
      <c r="F52" s="5" t="s">
        <v>56</v>
      </c>
      <c r="G52" s="5">
        <v>2019</v>
      </c>
      <c r="H52" s="5" t="str">
        <f>CONCATENATE("94240434616")</f>
        <v>94240434616</v>
      </c>
      <c r="I52" s="5" t="s">
        <v>29</v>
      </c>
      <c r="J52" s="5" t="s">
        <v>36</v>
      </c>
      <c r="K52" s="5" t="str">
        <f>CONCATENATE("")</f>
        <v/>
      </c>
      <c r="L52" s="5" t="str">
        <f>CONCATENATE("11 11.2 4b")</f>
        <v>11 11.2 4b</v>
      </c>
      <c r="M52" s="5" t="str">
        <f>CONCATENATE("CRNPLA67R20D488D")</f>
        <v>CRNPLA67R20D488D</v>
      </c>
      <c r="N52" s="5" t="s">
        <v>115</v>
      </c>
      <c r="O52" s="5" t="s">
        <v>55</v>
      </c>
      <c r="P52" s="6">
        <v>43927</v>
      </c>
      <c r="Q52" s="5" t="s">
        <v>31</v>
      </c>
      <c r="R52" s="5" t="s">
        <v>32</v>
      </c>
      <c r="S52" s="5" t="s">
        <v>33</v>
      </c>
      <c r="T52" s="5"/>
      <c r="U52" s="7">
        <v>3035.32</v>
      </c>
      <c r="V52" s="7">
        <v>1308.83</v>
      </c>
      <c r="W52" s="7">
        <v>1208.6600000000001</v>
      </c>
      <c r="X52" s="5">
        <v>0</v>
      </c>
      <c r="Y52" s="5">
        <v>517.83000000000004</v>
      </c>
    </row>
    <row r="53" spans="1:25" ht="24.75" x14ac:dyDescent="0.25">
      <c r="A53" s="5" t="s">
        <v>26</v>
      </c>
      <c r="B53" s="5" t="s">
        <v>27</v>
      </c>
      <c r="C53" s="5" t="s">
        <v>47</v>
      </c>
      <c r="D53" s="5" t="s">
        <v>102</v>
      </c>
      <c r="E53" s="5" t="s">
        <v>37</v>
      </c>
      <c r="F53" s="5" t="s">
        <v>116</v>
      </c>
      <c r="G53" s="5">
        <v>2019</v>
      </c>
      <c r="H53" s="5" t="str">
        <f>CONCATENATE("94240952971")</f>
        <v>94240952971</v>
      </c>
      <c r="I53" s="5" t="s">
        <v>29</v>
      </c>
      <c r="J53" s="5" t="s">
        <v>36</v>
      </c>
      <c r="K53" s="5" t="str">
        <f>CONCATENATE("")</f>
        <v/>
      </c>
      <c r="L53" s="5" t="str">
        <f>CONCATENATE("11 11.2 4b")</f>
        <v>11 11.2 4b</v>
      </c>
      <c r="M53" s="5" t="str">
        <f>CONCATENATE("FSTLSE80E59H769V")</f>
        <v>FSTLSE80E59H769V</v>
      </c>
      <c r="N53" s="5" t="s">
        <v>117</v>
      </c>
      <c r="O53" s="5" t="s">
        <v>55</v>
      </c>
      <c r="P53" s="6">
        <v>43927</v>
      </c>
      <c r="Q53" s="5" t="s">
        <v>31</v>
      </c>
      <c r="R53" s="5" t="s">
        <v>32</v>
      </c>
      <c r="S53" s="5" t="s">
        <v>33</v>
      </c>
      <c r="T53" s="5"/>
      <c r="U53" s="7">
        <v>15867.85</v>
      </c>
      <c r="V53" s="7">
        <v>6842.22</v>
      </c>
      <c r="W53" s="7">
        <v>6318.58</v>
      </c>
      <c r="X53" s="5">
        <v>0</v>
      </c>
      <c r="Y53" s="7">
        <v>2707.05</v>
      </c>
    </row>
    <row r="54" spans="1:25" ht="24.75" x14ac:dyDescent="0.25">
      <c r="A54" s="5" t="s">
        <v>26</v>
      </c>
      <c r="B54" s="5" t="s">
        <v>27</v>
      </c>
      <c r="C54" s="5" t="s">
        <v>47</v>
      </c>
      <c r="D54" s="5" t="s">
        <v>52</v>
      </c>
      <c r="E54" s="5" t="s">
        <v>35</v>
      </c>
      <c r="F54" s="5" t="s">
        <v>118</v>
      </c>
      <c r="G54" s="5">
        <v>2019</v>
      </c>
      <c r="H54" s="5" t="str">
        <f>CONCATENATE("94240790371")</f>
        <v>94240790371</v>
      </c>
      <c r="I54" s="5" t="s">
        <v>29</v>
      </c>
      <c r="J54" s="5" t="s">
        <v>36</v>
      </c>
      <c r="K54" s="5" t="str">
        <f>CONCATENATE("")</f>
        <v/>
      </c>
      <c r="L54" s="5" t="str">
        <f>CONCATENATE("11 11.2 4b")</f>
        <v>11 11.2 4b</v>
      </c>
      <c r="M54" s="5" t="str">
        <f>CONCATENATE("PCAGPP73L13G479B")</f>
        <v>PCAGPP73L13G479B</v>
      </c>
      <c r="N54" s="5" t="s">
        <v>119</v>
      </c>
      <c r="O54" s="5" t="s">
        <v>55</v>
      </c>
      <c r="P54" s="6">
        <v>43927</v>
      </c>
      <c r="Q54" s="5" t="s">
        <v>31</v>
      </c>
      <c r="R54" s="5" t="s">
        <v>32</v>
      </c>
      <c r="S54" s="5" t="s">
        <v>33</v>
      </c>
      <c r="T54" s="5"/>
      <c r="U54" s="5">
        <v>306.51</v>
      </c>
      <c r="V54" s="5">
        <v>132.16999999999999</v>
      </c>
      <c r="W54" s="5">
        <v>122.05</v>
      </c>
      <c r="X54" s="5">
        <v>0</v>
      </c>
      <c r="Y54" s="5">
        <v>52.29</v>
      </c>
    </row>
    <row r="55" spans="1:25" ht="24.75" x14ac:dyDescent="0.25">
      <c r="A55" s="5" t="s">
        <v>26</v>
      </c>
      <c r="B55" s="5" t="s">
        <v>27</v>
      </c>
      <c r="C55" s="5" t="s">
        <v>47</v>
      </c>
      <c r="D55" s="5" t="s">
        <v>52</v>
      </c>
      <c r="E55" s="5" t="s">
        <v>42</v>
      </c>
      <c r="F55" s="5" t="s">
        <v>88</v>
      </c>
      <c r="G55" s="5">
        <v>2019</v>
      </c>
      <c r="H55" s="5" t="str">
        <f>CONCATENATE("94241008070")</f>
        <v>94241008070</v>
      </c>
      <c r="I55" s="5" t="s">
        <v>29</v>
      </c>
      <c r="J55" s="5" t="s">
        <v>36</v>
      </c>
      <c r="K55" s="5" t="str">
        <f>CONCATENATE("")</f>
        <v/>
      </c>
      <c r="L55" s="5" t="str">
        <f>CONCATENATE("11 11.2 4b")</f>
        <v>11 11.2 4b</v>
      </c>
      <c r="M55" s="5" t="str">
        <f>CONCATENATE("DMNMSM62H11F497U")</f>
        <v>DMNMSM62H11F497U</v>
      </c>
      <c r="N55" s="5" t="s">
        <v>120</v>
      </c>
      <c r="O55" s="5" t="s">
        <v>55</v>
      </c>
      <c r="P55" s="6">
        <v>43927</v>
      </c>
      <c r="Q55" s="5" t="s">
        <v>31</v>
      </c>
      <c r="R55" s="5" t="s">
        <v>32</v>
      </c>
      <c r="S55" s="5" t="s">
        <v>33</v>
      </c>
      <c r="T55" s="5"/>
      <c r="U55" s="5">
        <v>952.1</v>
      </c>
      <c r="V55" s="5">
        <v>410.55</v>
      </c>
      <c r="W55" s="5">
        <v>379.13</v>
      </c>
      <c r="X55" s="5">
        <v>0</v>
      </c>
      <c r="Y55" s="5">
        <v>162.41999999999999</v>
      </c>
    </row>
    <row r="56" spans="1:25" ht="24.75" x14ac:dyDescent="0.25">
      <c r="A56" s="5" t="s">
        <v>26</v>
      </c>
      <c r="B56" s="5" t="s">
        <v>27</v>
      </c>
      <c r="C56" s="5" t="s">
        <v>47</v>
      </c>
      <c r="D56" s="5" t="s">
        <v>52</v>
      </c>
      <c r="E56" s="5" t="s">
        <v>40</v>
      </c>
      <c r="F56" s="5" t="s">
        <v>62</v>
      </c>
      <c r="G56" s="5">
        <v>2019</v>
      </c>
      <c r="H56" s="5" t="str">
        <f>CONCATENATE("94240967334")</f>
        <v>94240967334</v>
      </c>
      <c r="I56" s="5" t="s">
        <v>29</v>
      </c>
      <c r="J56" s="5" t="s">
        <v>36</v>
      </c>
      <c r="K56" s="5" t="str">
        <f>CONCATENATE("")</f>
        <v/>
      </c>
      <c r="L56" s="5" t="str">
        <f>CONCATENATE("11 11.2 4b")</f>
        <v>11 11.2 4b</v>
      </c>
      <c r="M56" s="5" t="str">
        <f>CONCATENATE("02689490411")</f>
        <v>02689490411</v>
      </c>
      <c r="N56" s="5" t="s">
        <v>121</v>
      </c>
      <c r="O56" s="5" t="s">
        <v>55</v>
      </c>
      <c r="P56" s="6">
        <v>43927</v>
      </c>
      <c r="Q56" s="5" t="s">
        <v>31</v>
      </c>
      <c r="R56" s="5" t="s">
        <v>32</v>
      </c>
      <c r="S56" s="5" t="s">
        <v>33</v>
      </c>
      <c r="T56" s="5"/>
      <c r="U56" s="7">
        <v>7257.25</v>
      </c>
      <c r="V56" s="7">
        <v>3129.33</v>
      </c>
      <c r="W56" s="7">
        <v>2889.84</v>
      </c>
      <c r="X56" s="5">
        <v>0</v>
      </c>
      <c r="Y56" s="7">
        <v>1238.08</v>
      </c>
    </row>
    <row r="57" spans="1:25" ht="24.75" x14ac:dyDescent="0.25">
      <c r="A57" s="5" t="s">
        <v>26</v>
      </c>
      <c r="B57" s="5" t="s">
        <v>27</v>
      </c>
      <c r="C57" s="5" t="s">
        <v>47</v>
      </c>
      <c r="D57" s="5" t="s">
        <v>52</v>
      </c>
      <c r="E57" s="5" t="s">
        <v>28</v>
      </c>
      <c r="F57" s="5" t="s">
        <v>98</v>
      </c>
      <c r="G57" s="5">
        <v>2019</v>
      </c>
      <c r="H57" s="5" t="str">
        <f>CONCATENATE("94240622285")</f>
        <v>94240622285</v>
      </c>
      <c r="I57" s="5" t="s">
        <v>29</v>
      </c>
      <c r="J57" s="5" t="s">
        <v>36</v>
      </c>
      <c r="K57" s="5" t="str">
        <f>CONCATENATE("")</f>
        <v/>
      </c>
      <c r="L57" s="5" t="str">
        <f>CONCATENATE("11 11.1 4b")</f>
        <v>11 11.1 4b</v>
      </c>
      <c r="M57" s="5" t="str">
        <f>CONCATENATE("CVLLRT80P15C933H")</f>
        <v>CVLLRT80P15C933H</v>
      </c>
      <c r="N57" s="5" t="s">
        <v>122</v>
      </c>
      <c r="O57" s="5" t="s">
        <v>55</v>
      </c>
      <c r="P57" s="6">
        <v>43927</v>
      </c>
      <c r="Q57" s="5" t="s">
        <v>31</v>
      </c>
      <c r="R57" s="5" t="s">
        <v>32</v>
      </c>
      <c r="S57" s="5" t="s">
        <v>33</v>
      </c>
      <c r="T57" s="5"/>
      <c r="U57" s="5">
        <v>81.78</v>
      </c>
      <c r="V57" s="5">
        <v>35.26</v>
      </c>
      <c r="W57" s="5">
        <v>32.56</v>
      </c>
      <c r="X57" s="5">
        <v>0</v>
      </c>
      <c r="Y57" s="5">
        <v>13.96</v>
      </c>
    </row>
    <row r="58" spans="1:25" ht="24.75" x14ac:dyDescent="0.25">
      <c r="A58" s="5" t="s">
        <v>26</v>
      </c>
      <c r="B58" s="5" t="s">
        <v>27</v>
      </c>
      <c r="C58" s="5" t="s">
        <v>47</v>
      </c>
      <c r="D58" s="5" t="s">
        <v>48</v>
      </c>
      <c r="E58" s="5" t="s">
        <v>35</v>
      </c>
      <c r="F58" s="5" t="s">
        <v>85</v>
      </c>
      <c r="G58" s="5">
        <v>2019</v>
      </c>
      <c r="H58" s="5" t="str">
        <f>CONCATENATE("94240326887")</f>
        <v>94240326887</v>
      </c>
      <c r="I58" s="5" t="s">
        <v>29</v>
      </c>
      <c r="J58" s="5" t="s">
        <v>36</v>
      </c>
      <c r="K58" s="5" t="str">
        <f>CONCATENATE("")</f>
        <v/>
      </c>
      <c r="L58" s="5" t="str">
        <f>CONCATENATE("11 11.1 4b")</f>
        <v>11 11.1 4b</v>
      </c>
      <c r="M58" s="5" t="str">
        <f>CONCATENATE("CPPSNT59L46D451M")</f>
        <v>CPPSNT59L46D451M</v>
      </c>
      <c r="N58" s="5" t="s">
        <v>123</v>
      </c>
      <c r="O58" s="5" t="s">
        <v>55</v>
      </c>
      <c r="P58" s="6">
        <v>43927</v>
      </c>
      <c r="Q58" s="5" t="s">
        <v>31</v>
      </c>
      <c r="R58" s="5" t="s">
        <v>32</v>
      </c>
      <c r="S58" s="5" t="s">
        <v>33</v>
      </c>
      <c r="T58" s="5"/>
      <c r="U58" s="7">
        <v>2188.2600000000002</v>
      </c>
      <c r="V58" s="5">
        <v>943.58</v>
      </c>
      <c r="W58" s="5">
        <v>871.37</v>
      </c>
      <c r="X58" s="5">
        <v>0</v>
      </c>
      <c r="Y58" s="5">
        <v>373.31</v>
      </c>
    </row>
    <row r="59" spans="1:25" ht="24.75" x14ac:dyDescent="0.25">
      <c r="A59" s="5" t="s">
        <v>26</v>
      </c>
      <c r="B59" s="5" t="s">
        <v>27</v>
      </c>
      <c r="C59" s="5" t="s">
        <v>47</v>
      </c>
      <c r="D59" s="5" t="s">
        <v>52</v>
      </c>
      <c r="E59" s="5" t="s">
        <v>28</v>
      </c>
      <c r="F59" s="5" t="s">
        <v>79</v>
      </c>
      <c r="G59" s="5">
        <v>2019</v>
      </c>
      <c r="H59" s="5" t="str">
        <f>CONCATENATE("94240064892")</f>
        <v>94240064892</v>
      </c>
      <c r="I59" s="5" t="s">
        <v>29</v>
      </c>
      <c r="J59" s="5" t="s">
        <v>36</v>
      </c>
      <c r="K59" s="5" t="str">
        <f>CONCATENATE("")</f>
        <v/>
      </c>
      <c r="L59" s="5" t="str">
        <f>CONCATENATE("11 11.1 4b")</f>
        <v>11 11.1 4b</v>
      </c>
      <c r="M59" s="5" t="str">
        <f>CONCATENATE("CPTMNT56A44D791R")</f>
        <v>CPTMNT56A44D791R</v>
      </c>
      <c r="N59" s="5" t="s">
        <v>124</v>
      </c>
      <c r="O59" s="5" t="s">
        <v>55</v>
      </c>
      <c r="P59" s="6">
        <v>43927</v>
      </c>
      <c r="Q59" s="5" t="s">
        <v>31</v>
      </c>
      <c r="R59" s="5" t="s">
        <v>32</v>
      </c>
      <c r="S59" s="5" t="s">
        <v>33</v>
      </c>
      <c r="T59" s="5"/>
      <c r="U59" s="5">
        <v>424.95</v>
      </c>
      <c r="V59" s="5">
        <v>183.24</v>
      </c>
      <c r="W59" s="5">
        <v>169.22</v>
      </c>
      <c r="X59" s="5">
        <v>0</v>
      </c>
      <c r="Y59" s="5">
        <v>72.489999999999995</v>
      </c>
    </row>
    <row r="60" spans="1:25" ht="24.75" x14ac:dyDescent="0.25">
      <c r="A60" s="5" t="s">
        <v>26</v>
      </c>
      <c r="B60" s="5" t="s">
        <v>27</v>
      </c>
      <c r="C60" s="5" t="s">
        <v>47</v>
      </c>
      <c r="D60" s="5" t="s">
        <v>48</v>
      </c>
      <c r="E60" s="5" t="s">
        <v>35</v>
      </c>
      <c r="F60" s="5" t="s">
        <v>85</v>
      </c>
      <c r="G60" s="5">
        <v>2019</v>
      </c>
      <c r="H60" s="5" t="str">
        <f>CONCATENATE("94240175730")</f>
        <v>94240175730</v>
      </c>
      <c r="I60" s="5" t="s">
        <v>29</v>
      </c>
      <c r="J60" s="5" t="s">
        <v>36</v>
      </c>
      <c r="K60" s="5" t="str">
        <f>CONCATENATE("")</f>
        <v/>
      </c>
      <c r="L60" s="5" t="str">
        <f>CONCATENATE("11 11.2 4b")</f>
        <v>11 11.2 4b</v>
      </c>
      <c r="M60" s="5" t="str">
        <f>CONCATENATE("DNGPTR96P12E230A")</f>
        <v>DNGPTR96P12E230A</v>
      </c>
      <c r="N60" s="5" t="s">
        <v>125</v>
      </c>
      <c r="O60" s="5" t="s">
        <v>55</v>
      </c>
      <c r="P60" s="6">
        <v>43927</v>
      </c>
      <c r="Q60" s="5" t="s">
        <v>31</v>
      </c>
      <c r="R60" s="5" t="s">
        <v>32</v>
      </c>
      <c r="S60" s="5" t="s">
        <v>33</v>
      </c>
      <c r="T60" s="5"/>
      <c r="U60" s="7">
        <v>9403.06</v>
      </c>
      <c r="V60" s="7">
        <v>4054.6</v>
      </c>
      <c r="W60" s="7">
        <v>3744.3</v>
      </c>
      <c r="X60" s="5">
        <v>0</v>
      </c>
      <c r="Y60" s="7">
        <v>1604.16</v>
      </c>
    </row>
    <row r="61" spans="1:25" ht="24.75" x14ac:dyDescent="0.25">
      <c r="A61" s="5" t="s">
        <v>26</v>
      </c>
      <c r="B61" s="5" t="s">
        <v>27</v>
      </c>
      <c r="C61" s="5" t="s">
        <v>47</v>
      </c>
      <c r="D61" s="5" t="s">
        <v>52</v>
      </c>
      <c r="E61" s="5" t="s">
        <v>35</v>
      </c>
      <c r="F61" s="5" t="s">
        <v>91</v>
      </c>
      <c r="G61" s="5">
        <v>2019</v>
      </c>
      <c r="H61" s="5" t="str">
        <f>CONCATENATE("94240437635")</f>
        <v>94240437635</v>
      </c>
      <c r="I61" s="5" t="s">
        <v>43</v>
      </c>
      <c r="J61" s="5" t="s">
        <v>36</v>
      </c>
      <c r="K61" s="5" t="str">
        <f>CONCATENATE("")</f>
        <v/>
      </c>
      <c r="L61" s="5" t="str">
        <f>CONCATENATE("11 11.1 4b")</f>
        <v>11 11.1 4b</v>
      </c>
      <c r="M61" s="5" t="str">
        <f>CONCATENATE("MNSPRZ75M28B352O")</f>
        <v>MNSPRZ75M28B352O</v>
      </c>
      <c r="N61" s="5" t="s">
        <v>126</v>
      </c>
      <c r="O61" s="5" t="s">
        <v>55</v>
      </c>
      <c r="P61" s="6">
        <v>43927</v>
      </c>
      <c r="Q61" s="5" t="s">
        <v>31</v>
      </c>
      <c r="R61" s="5" t="s">
        <v>32</v>
      </c>
      <c r="S61" s="5" t="s">
        <v>33</v>
      </c>
      <c r="T61" s="5"/>
      <c r="U61" s="7">
        <v>1429.28</v>
      </c>
      <c r="V61" s="5">
        <v>616.30999999999995</v>
      </c>
      <c r="W61" s="5">
        <v>569.14</v>
      </c>
      <c r="X61" s="5">
        <v>0</v>
      </c>
      <c r="Y61" s="5">
        <v>243.83</v>
      </c>
    </row>
    <row r="62" spans="1:25" ht="24.75" x14ac:dyDescent="0.25">
      <c r="A62" s="5" t="s">
        <v>26</v>
      </c>
      <c r="B62" s="5" t="s">
        <v>27</v>
      </c>
      <c r="C62" s="5" t="s">
        <v>47</v>
      </c>
      <c r="D62" s="5" t="s">
        <v>52</v>
      </c>
      <c r="E62" s="5" t="s">
        <v>35</v>
      </c>
      <c r="F62" s="5" t="s">
        <v>91</v>
      </c>
      <c r="G62" s="5">
        <v>2019</v>
      </c>
      <c r="H62" s="5" t="str">
        <f>CONCATENATE("94240710924")</f>
        <v>94240710924</v>
      </c>
      <c r="I62" s="5" t="s">
        <v>43</v>
      </c>
      <c r="J62" s="5" t="s">
        <v>36</v>
      </c>
      <c r="K62" s="5" t="str">
        <f>CONCATENATE("")</f>
        <v/>
      </c>
      <c r="L62" s="5" t="str">
        <f>CONCATENATE("11 11.1 4b")</f>
        <v>11 11.1 4b</v>
      </c>
      <c r="M62" s="5" t="str">
        <f>CONCATENATE("CNTNGL64H58D749U")</f>
        <v>CNTNGL64H58D749U</v>
      </c>
      <c r="N62" s="5" t="s">
        <v>127</v>
      </c>
      <c r="O62" s="5" t="s">
        <v>55</v>
      </c>
      <c r="P62" s="6">
        <v>43927</v>
      </c>
      <c r="Q62" s="5" t="s">
        <v>31</v>
      </c>
      <c r="R62" s="5" t="s">
        <v>32</v>
      </c>
      <c r="S62" s="5" t="s">
        <v>33</v>
      </c>
      <c r="T62" s="5"/>
      <c r="U62" s="5">
        <v>167.17</v>
      </c>
      <c r="V62" s="5">
        <v>72.08</v>
      </c>
      <c r="W62" s="5">
        <v>66.569999999999993</v>
      </c>
      <c r="X62" s="5">
        <v>0</v>
      </c>
      <c r="Y62" s="5">
        <v>28.52</v>
      </c>
    </row>
    <row r="63" spans="1:25" ht="24.75" x14ac:dyDescent="0.25">
      <c r="A63" s="5" t="s">
        <v>26</v>
      </c>
      <c r="B63" s="5" t="s">
        <v>27</v>
      </c>
      <c r="C63" s="5" t="s">
        <v>47</v>
      </c>
      <c r="D63" s="5" t="s">
        <v>52</v>
      </c>
      <c r="E63" s="5" t="s">
        <v>35</v>
      </c>
      <c r="F63" s="5" t="s">
        <v>91</v>
      </c>
      <c r="G63" s="5">
        <v>2019</v>
      </c>
      <c r="H63" s="5" t="str">
        <f>CONCATENATE("94240950322")</f>
        <v>94240950322</v>
      </c>
      <c r="I63" s="5" t="s">
        <v>43</v>
      </c>
      <c r="J63" s="5" t="s">
        <v>36</v>
      </c>
      <c r="K63" s="5" t="str">
        <f>CONCATENATE("")</f>
        <v/>
      </c>
      <c r="L63" s="5" t="str">
        <f>CONCATENATE("11 11.2 4b")</f>
        <v>11 11.2 4b</v>
      </c>
      <c r="M63" s="5" t="str">
        <f>CONCATENATE("PCCMTT97M15L500K")</f>
        <v>PCCMTT97M15L500K</v>
      </c>
      <c r="N63" s="5" t="s">
        <v>128</v>
      </c>
      <c r="O63" s="5" t="s">
        <v>55</v>
      </c>
      <c r="P63" s="6">
        <v>43927</v>
      </c>
      <c r="Q63" s="5" t="s">
        <v>31</v>
      </c>
      <c r="R63" s="5" t="s">
        <v>32</v>
      </c>
      <c r="S63" s="5" t="s">
        <v>33</v>
      </c>
      <c r="T63" s="5"/>
      <c r="U63" s="5">
        <v>249.2</v>
      </c>
      <c r="V63" s="5">
        <v>107.46</v>
      </c>
      <c r="W63" s="5">
        <v>99.23</v>
      </c>
      <c r="X63" s="5">
        <v>0</v>
      </c>
      <c r="Y63" s="5">
        <v>42.51</v>
      </c>
    </row>
    <row r="64" spans="1:25" ht="24.75" x14ac:dyDescent="0.25">
      <c r="A64" s="5" t="s">
        <v>26</v>
      </c>
      <c r="B64" s="5" t="s">
        <v>27</v>
      </c>
      <c r="C64" s="5" t="s">
        <v>47</v>
      </c>
      <c r="D64" s="5" t="s">
        <v>52</v>
      </c>
      <c r="E64" s="5" t="s">
        <v>35</v>
      </c>
      <c r="F64" s="5" t="s">
        <v>91</v>
      </c>
      <c r="G64" s="5">
        <v>2019</v>
      </c>
      <c r="H64" s="5" t="str">
        <f>CONCATENATE("94240337660")</f>
        <v>94240337660</v>
      </c>
      <c r="I64" s="5" t="s">
        <v>29</v>
      </c>
      <c r="J64" s="5" t="s">
        <v>36</v>
      </c>
      <c r="K64" s="5" t="str">
        <f>CONCATENATE("")</f>
        <v/>
      </c>
      <c r="L64" s="5" t="str">
        <f>CONCATENATE("11 11.1 4b")</f>
        <v>11 11.1 4b</v>
      </c>
      <c r="M64" s="5" t="str">
        <f>CONCATENATE("DRUFNC63C69B636V")</f>
        <v>DRUFNC63C69B636V</v>
      </c>
      <c r="N64" s="5" t="s">
        <v>129</v>
      </c>
      <c r="O64" s="5" t="s">
        <v>55</v>
      </c>
      <c r="P64" s="6">
        <v>43927</v>
      </c>
      <c r="Q64" s="5" t="s">
        <v>31</v>
      </c>
      <c r="R64" s="5" t="s">
        <v>32</v>
      </c>
      <c r="S64" s="5" t="s">
        <v>33</v>
      </c>
      <c r="T64" s="5"/>
      <c r="U64" s="5">
        <v>348.03</v>
      </c>
      <c r="V64" s="5">
        <v>150.07</v>
      </c>
      <c r="W64" s="5">
        <v>138.59</v>
      </c>
      <c r="X64" s="5">
        <v>0</v>
      </c>
      <c r="Y64" s="5">
        <v>59.37</v>
      </c>
    </row>
    <row r="65" spans="1:25" ht="24.75" x14ac:dyDescent="0.25">
      <c r="A65" s="5" t="s">
        <v>26</v>
      </c>
      <c r="B65" s="5" t="s">
        <v>27</v>
      </c>
      <c r="C65" s="5" t="s">
        <v>47</v>
      </c>
      <c r="D65" s="5" t="s">
        <v>52</v>
      </c>
      <c r="E65" s="5" t="s">
        <v>28</v>
      </c>
      <c r="F65" s="5" t="s">
        <v>60</v>
      </c>
      <c r="G65" s="5">
        <v>2018</v>
      </c>
      <c r="H65" s="5" t="str">
        <f>CONCATENATE("84240591416")</f>
        <v>84240591416</v>
      </c>
      <c r="I65" s="5" t="s">
        <v>29</v>
      </c>
      <c r="J65" s="5" t="s">
        <v>36</v>
      </c>
      <c r="K65" s="5" t="str">
        <f>CONCATENATE("")</f>
        <v/>
      </c>
      <c r="L65" s="5" t="str">
        <f>CONCATENATE("11 11.2 4b")</f>
        <v>11 11.2 4b</v>
      </c>
      <c r="M65" s="5" t="str">
        <f>CONCATENATE("MRNFNC46L05I287W")</f>
        <v>MRNFNC46L05I287W</v>
      </c>
      <c r="N65" s="5" t="s">
        <v>130</v>
      </c>
      <c r="O65" s="5" t="s">
        <v>55</v>
      </c>
      <c r="P65" s="6">
        <v>43927</v>
      </c>
      <c r="Q65" s="5" t="s">
        <v>31</v>
      </c>
      <c r="R65" s="5" t="s">
        <v>32</v>
      </c>
      <c r="S65" s="5" t="s">
        <v>33</v>
      </c>
      <c r="T65" s="5"/>
      <c r="U65" s="7">
        <v>7670.54</v>
      </c>
      <c r="V65" s="7">
        <v>3307.54</v>
      </c>
      <c r="W65" s="7">
        <v>3054.41</v>
      </c>
      <c r="X65" s="5">
        <v>0</v>
      </c>
      <c r="Y65" s="7">
        <v>1308.5899999999999</v>
      </c>
    </row>
    <row r="66" spans="1:25" ht="24.75" x14ac:dyDescent="0.25">
      <c r="A66" s="5" t="s">
        <v>26</v>
      </c>
      <c r="B66" s="5" t="s">
        <v>27</v>
      </c>
      <c r="C66" s="5" t="s">
        <v>47</v>
      </c>
      <c r="D66" s="5" t="s">
        <v>52</v>
      </c>
      <c r="E66" s="5" t="s">
        <v>28</v>
      </c>
      <c r="F66" s="5" t="s">
        <v>60</v>
      </c>
      <c r="G66" s="5">
        <v>2019</v>
      </c>
      <c r="H66" s="5" t="str">
        <f>CONCATENATE("94240698293")</f>
        <v>94240698293</v>
      </c>
      <c r="I66" s="5" t="s">
        <v>29</v>
      </c>
      <c r="J66" s="5" t="s">
        <v>36</v>
      </c>
      <c r="K66" s="5" t="str">
        <f>CONCATENATE("")</f>
        <v/>
      </c>
      <c r="L66" s="5" t="str">
        <f>CONCATENATE("11 11.2 4b")</f>
        <v>11 11.2 4b</v>
      </c>
      <c r="M66" s="5" t="str">
        <f>CONCATENATE("MRNFNC46L05I287W")</f>
        <v>MRNFNC46L05I287W</v>
      </c>
      <c r="N66" s="5" t="s">
        <v>130</v>
      </c>
      <c r="O66" s="5" t="s">
        <v>55</v>
      </c>
      <c r="P66" s="6">
        <v>43927</v>
      </c>
      <c r="Q66" s="5" t="s">
        <v>31</v>
      </c>
      <c r="R66" s="5" t="s">
        <v>32</v>
      </c>
      <c r="S66" s="5" t="s">
        <v>33</v>
      </c>
      <c r="T66" s="5"/>
      <c r="U66" s="7">
        <v>7355.41</v>
      </c>
      <c r="V66" s="7">
        <v>3171.65</v>
      </c>
      <c r="W66" s="7">
        <v>2928.92</v>
      </c>
      <c r="X66" s="5">
        <v>0</v>
      </c>
      <c r="Y66" s="7">
        <v>1254.8399999999999</v>
      </c>
    </row>
    <row r="67" spans="1:25" ht="24.75" x14ac:dyDescent="0.25">
      <c r="A67" s="5" t="s">
        <v>26</v>
      </c>
      <c r="B67" s="5" t="s">
        <v>27</v>
      </c>
      <c r="C67" s="5" t="s">
        <v>47</v>
      </c>
      <c r="D67" s="5" t="s">
        <v>52</v>
      </c>
      <c r="E67" s="5" t="s">
        <v>38</v>
      </c>
      <c r="F67" s="5" t="s">
        <v>81</v>
      </c>
      <c r="G67" s="5">
        <v>2019</v>
      </c>
      <c r="H67" s="5" t="str">
        <f>CONCATENATE("94240947088")</f>
        <v>94240947088</v>
      </c>
      <c r="I67" s="5" t="s">
        <v>29</v>
      </c>
      <c r="J67" s="5" t="s">
        <v>36</v>
      </c>
      <c r="K67" s="5" t="str">
        <f>CONCATENATE("")</f>
        <v/>
      </c>
      <c r="L67" s="5" t="str">
        <f>CONCATENATE("11 11.2 4b")</f>
        <v>11 11.2 4b</v>
      </c>
      <c r="M67" s="5" t="str">
        <f>CONCATENATE("BRSNDA48A47Z103Q")</f>
        <v>BRSNDA48A47Z103Q</v>
      </c>
      <c r="N67" s="5" t="s">
        <v>131</v>
      </c>
      <c r="O67" s="5" t="s">
        <v>55</v>
      </c>
      <c r="P67" s="6">
        <v>43927</v>
      </c>
      <c r="Q67" s="5" t="s">
        <v>31</v>
      </c>
      <c r="R67" s="5" t="s">
        <v>32</v>
      </c>
      <c r="S67" s="5" t="s">
        <v>33</v>
      </c>
      <c r="T67" s="5"/>
      <c r="U67" s="7">
        <v>16307.46</v>
      </c>
      <c r="V67" s="7">
        <v>7031.78</v>
      </c>
      <c r="W67" s="7">
        <v>6493.63</v>
      </c>
      <c r="X67" s="5">
        <v>0</v>
      </c>
      <c r="Y67" s="7">
        <v>2782.05</v>
      </c>
    </row>
    <row r="68" spans="1:25" ht="24.75" x14ac:dyDescent="0.25">
      <c r="A68" s="5" t="s">
        <v>26</v>
      </c>
      <c r="B68" s="5" t="s">
        <v>27</v>
      </c>
      <c r="C68" s="5" t="s">
        <v>47</v>
      </c>
      <c r="D68" s="5" t="s">
        <v>52</v>
      </c>
      <c r="E68" s="5" t="s">
        <v>28</v>
      </c>
      <c r="F68" s="5" t="s">
        <v>132</v>
      </c>
      <c r="G68" s="5">
        <v>2019</v>
      </c>
      <c r="H68" s="5" t="str">
        <f>CONCATENATE("94240970502")</f>
        <v>94240970502</v>
      </c>
      <c r="I68" s="5" t="s">
        <v>29</v>
      </c>
      <c r="J68" s="5" t="s">
        <v>36</v>
      </c>
      <c r="K68" s="5" t="str">
        <f>CONCATENATE("")</f>
        <v/>
      </c>
      <c r="L68" s="5" t="str">
        <f>CONCATENATE("11 11.2 4b")</f>
        <v>11 11.2 4b</v>
      </c>
      <c r="M68" s="5" t="str">
        <f>CONCATENATE("GTRCRS78A24D786U")</f>
        <v>GTRCRS78A24D786U</v>
      </c>
      <c r="N68" s="5" t="s">
        <v>133</v>
      </c>
      <c r="O68" s="5" t="s">
        <v>55</v>
      </c>
      <c r="P68" s="6">
        <v>43927</v>
      </c>
      <c r="Q68" s="5" t="s">
        <v>31</v>
      </c>
      <c r="R68" s="5" t="s">
        <v>32</v>
      </c>
      <c r="S68" s="5" t="s">
        <v>33</v>
      </c>
      <c r="T68" s="5"/>
      <c r="U68" s="7">
        <v>1270.45</v>
      </c>
      <c r="V68" s="5">
        <v>547.82000000000005</v>
      </c>
      <c r="W68" s="5">
        <v>505.89</v>
      </c>
      <c r="X68" s="5">
        <v>0</v>
      </c>
      <c r="Y68" s="5">
        <v>216.74</v>
      </c>
    </row>
    <row r="69" spans="1:25" ht="24.75" x14ac:dyDescent="0.25">
      <c r="A69" s="5" t="s">
        <v>26</v>
      </c>
      <c r="B69" s="5" t="s">
        <v>27</v>
      </c>
      <c r="C69" s="5" t="s">
        <v>47</v>
      </c>
      <c r="D69" s="5" t="s">
        <v>52</v>
      </c>
      <c r="E69" s="5" t="s">
        <v>40</v>
      </c>
      <c r="F69" s="5" t="s">
        <v>64</v>
      </c>
      <c r="G69" s="5">
        <v>2019</v>
      </c>
      <c r="H69" s="5" t="str">
        <f>CONCATENATE("94240258270")</f>
        <v>94240258270</v>
      </c>
      <c r="I69" s="5" t="s">
        <v>29</v>
      </c>
      <c r="J69" s="5" t="s">
        <v>36</v>
      </c>
      <c r="K69" s="5" t="str">
        <f>CONCATENATE("")</f>
        <v/>
      </c>
      <c r="L69" s="5" t="str">
        <f>CONCATENATE("11 11.2 4b")</f>
        <v>11 11.2 4b</v>
      </c>
      <c r="M69" s="5" t="str">
        <f>CONCATENATE("01364170413")</f>
        <v>01364170413</v>
      </c>
      <c r="N69" s="5" t="s">
        <v>134</v>
      </c>
      <c r="O69" s="5" t="s">
        <v>55</v>
      </c>
      <c r="P69" s="6">
        <v>43927</v>
      </c>
      <c r="Q69" s="5" t="s">
        <v>31</v>
      </c>
      <c r="R69" s="5" t="s">
        <v>32</v>
      </c>
      <c r="S69" s="5" t="s">
        <v>33</v>
      </c>
      <c r="T69" s="5"/>
      <c r="U69" s="7">
        <v>2816.12</v>
      </c>
      <c r="V69" s="7">
        <v>1214.31</v>
      </c>
      <c r="W69" s="7">
        <v>1121.3800000000001</v>
      </c>
      <c r="X69" s="5">
        <v>0</v>
      </c>
      <c r="Y69" s="5">
        <v>480.43</v>
      </c>
    </row>
    <row r="70" spans="1:25" ht="24.75" x14ac:dyDescent="0.25">
      <c r="A70" s="5" t="s">
        <v>26</v>
      </c>
      <c r="B70" s="5" t="s">
        <v>27</v>
      </c>
      <c r="C70" s="5" t="s">
        <v>47</v>
      </c>
      <c r="D70" s="5" t="s">
        <v>102</v>
      </c>
      <c r="E70" s="5" t="s">
        <v>39</v>
      </c>
      <c r="F70" s="5" t="s">
        <v>39</v>
      </c>
      <c r="G70" s="5">
        <v>2019</v>
      </c>
      <c r="H70" s="5" t="str">
        <f>CONCATENATE("94241114472")</f>
        <v>94241114472</v>
      </c>
      <c r="I70" s="5" t="s">
        <v>29</v>
      </c>
      <c r="J70" s="5" t="s">
        <v>36</v>
      </c>
      <c r="K70" s="5" t="str">
        <f>CONCATENATE("")</f>
        <v/>
      </c>
      <c r="L70" s="5" t="str">
        <f>CONCATENATE("11 11.2 4b")</f>
        <v>11 11.2 4b</v>
      </c>
      <c r="M70" s="5" t="str">
        <f>CONCATENATE("MBLGNI52S07G005R")</f>
        <v>MBLGNI52S07G005R</v>
      </c>
      <c r="N70" s="5" t="s">
        <v>135</v>
      </c>
      <c r="O70" s="5" t="s">
        <v>55</v>
      </c>
      <c r="P70" s="6">
        <v>43927</v>
      </c>
      <c r="Q70" s="5" t="s">
        <v>31</v>
      </c>
      <c r="R70" s="5" t="s">
        <v>32</v>
      </c>
      <c r="S70" s="5" t="s">
        <v>33</v>
      </c>
      <c r="T70" s="5"/>
      <c r="U70" s="7">
        <v>1454.62</v>
      </c>
      <c r="V70" s="5">
        <v>627.23</v>
      </c>
      <c r="W70" s="5">
        <v>579.23</v>
      </c>
      <c r="X70" s="5">
        <v>0</v>
      </c>
      <c r="Y70" s="5">
        <v>248.16</v>
      </c>
    </row>
    <row r="71" spans="1:25" ht="24.75" x14ac:dyDescent="0.25">
      <c r="A71" s="5" t="s">
        <v>26</v>
      </c>
      <c r="B71" s="5" t="s">
        <v>27</v>
      </c>
      <c r="C71" s="5" t="s">
        <v>47</v>
      </c>
      <c r="D71" s="5" t="s">
        <v>52</v>
      </c>
      <c r="E71" s="5" t="s">
        <v>28</v>
      </c>
      <c r="F71" s="5" t="s">
        <v>98</v>
      </c>
      <c r="G71" s="5">
        <v>2019</v>
      </c>
      <c r="H71" s="5" t="str">
        <f>CONCATENATE("94240822141")</f>
        <v>94240822141</v>
      </c>
      <c r="I71" s="5" t="s">
        <v>29</v>
      </c>
      <c r="J71" s="5" t="s">
        <v>36</v>
      </c>
      <c r="K71" s="5" t="str">
        <f>CONCATENATE("")</f>
        <v/>
      </c>
      <c r="L71" s="5" t="str">
        <f>CONCATENATE("11 11.2 4b")</f>
        <v>11 11.2 4b</v>
      </c>
      <c r="M71" s="5" t="str">
        <f>CONCATENATE("02621430418")</f>
        <v>02621430418</v>
      </c>
      <c r="N71" s="5" t="s">
        <v>136</v>
      </c>
      <c r="O71" s="5" t="s">
        <v>55</v>
      </c>
      <c r="P71" s="6">
        <v>43927</v>
      </c>
      <c r="Q71" s="5" t="s">
        <v>31</v>
      </c>
      <c r="R71" s="5" t="s">
        <v>32</v>
      </c>
      <c r="S71" s="5" t="s">
        <v>33</v>
      </c>
      <c r="T71" s="5"/>
      <c r="U71" s="5">
        <v>247.06</v>
      </c>
      <c r="V71" s="5">
        <v>106.53</v>
      </c>
      <c r="W71" s="5">
        <v>98.38</v>
      </c>
      <c r="X71" s="5">
        <v>0</v>
      </c>
      <c r="Y71" s="5">
        <v>42.15</v>
      </c>
    </row>
    <row r="72" spans="1:25" ht="24.75" x14ac:dyDescent="0.25">
      <c r="A72" s="5" t="s">
        <v>26</v>
      </c>
      <c r="B72" s="5" t="s">
        <v>27</v>
      </c>
      <c r="C72" s="5" t="s">
        <v>47</v>
      </c>
      <c r="D72" s="5" t="s">
        <v>52</v>
      </c>
      <c r="E72" s="5" t="s">
        <v>35</v>
      </c>
      <c r="F72" s="5" t="s">
        <v>53</v>
      </c>
      <c r="G72" s="5">
        <v>2019</v>
      </c>
      <c r="H72" s="5" t="str">
        <f>CONCATENATE("94240495617")</f>
        <v>94240495617</v>
      </c>
      <c r="I72" s="5" t="s">
        <v>29</v>
      </c>
      <c r="J72" s="5" t="s">
        <v>36</v>
      </c>
      <c r="K72" s="5" t="str">
        <f>CONCATENATE("")</f>
        <v/>
      </c>
      <c r="L72" s="5" t="str">
        <f>CONCATENATE("11 11.2 4b")</f>
        <v>11 11.2 4b</v>
      </c>
      <c r="M72" s="5" t="str">
        <f>CONCATENATE("GLNCLD61E10F135Z")</f>
        <v>GLNCLD61E10F135Z</v>
      </c>
      <c r="N72" s="5" t="s">
        <v>137</v>
      </c>
      <c r="O72" s="5" t="s">
        <v>55</v>
      </c>
      <c r="P72" s="6">
        <v>43927</v>
      </c>
      <c r="Q72" s="5" t="s">
        <v>31</v>
      </c>
      <c r="R72" s="5" t="s">
        <v>32</v>
      </c>
      <c r="S72" s="5" t="s">
        <v>33</v>
      </c>
      <c r="T72" s="5"/>
      <c r="U72" s="5">
        <v>309.93</v>
      </c>
      <c r="V72" s="5">
        <v>133.63999999999999</v>
      </c>
      <c r="W72" s="5">
        <v>123.41</v>
      </c>
      <c r="X72" s="5">
        <v>0</v>
      </c>
      <c r="Y72" s="5">
        <v>52.88</v>
      </c>
    </row>
    <row r="73" spans="1:25" ht="24.75" x14ac:dyDescent="0.25">
      <c r="A73" s="5" t="s">
        <v>26</v>
      </c>
      <c r="B73" s="5" t="s">
        <v>27</v>
      </c>
      <c r="C73" s="5" t="s">
        <v>47</v>
      </c>
      <c r="D73" s="5" t="s">
        <v>52</v>
      </c>
      <c r="E73" s="5" t="s">
        <v>40</v>
      </c>
      <c r="F73" s="5" t="s">
        <v>64</v>
      </c>
      <c r="G73" s="5">
        <v>2019</v>
      </c>
      <c r="H73" s="5" t="str">
        <f>CONCATENATE("94241023301")</f>
        <v>94241023301</v>
      </c>
      <c r="I73" s="5" t="s">
        <v>29</v>
      </c>
      <c r="J73" s="5" t="s">
        <v>36</v>
      </c>
      <c r="K73" s="5" t="str">
        <f>CONCATENATE("")</f>
        <v/>
      </c>
      <c r="L73" s="5" t="str">
        <f>CONCATENATE("11 11.2 4b")</f>
        <v>11 11.2 4b</v>
      </c>
      <c r="M73" s="5" t="str">
        <f>CONCATENATE("GMBGRL67S12L500N")</f>
        <v>GMBGRL67S12L500N</v>
      </c>
      <c r="N73" s="5" t="s">
        <v>138</v>
      </c>
      <c r="O73" s="5" t="s">
        <v>55</v>
      </c>
      <c r="P73" s="6">
        <v>43927</v>
      </c>
      <c r="Q73" s="5" t="s">
        <v>31</v>
      </c>
      <c r="R73" s="5" t="s">
        <v>32</v>
      </c>
      <c r="S73" s="5" t="s">
        <v>33</v>
      </c>
      <c r="T73" s="5"/>
      <c r="U73" s="5">
        <v>328.65</v>
      </c>
      <c r="V73" s="5">
        <v>141.71</v>
      </c>
      <c r="W73" s="5">
        <v>130.87</v>
      </c>
      <c r="X73" s="5">
        <v>0</v>
      </c>
      <c r="Y73" s="5">
        <v>56.07</v>
      </c>
    </row>
    <row r="74" spans="1:25" ht="24.75" x14ac:dyDescent="0.25">
      <c r="A74" s="5" t="s">
        <v>26</v>
      </c>
      <c r="B74" s="5" t="s">
        <v>27</v>
      </c>
      <c r="C74" s="5" t="s">
        <v>47</v>
      </c>
      <c r="D74" s="5" t="s">
        <v>48</v>
      </c>
      <c r="E74" s="5" t="s">
        <v>37</v>
      </c>
      <c r="F74" s="5" t="s">
        <v>139</v>
      </c>
      <c r="G74" s="5">
        <v>2019</v>
      </c>
      <c r="H74" s="5" t="str">
        <f>CONCATENATE("94241050916")</f>
        <v>94241050916</v>
      </c>
      <c r="I74" s="5" t="s">
        <v>29</v>
      </c>
      <c r="J74" s="5" t="s">
        <v>36</v>
      </c>
      <c r="K74" s="5" t="str">
        <f>CONCATENATE("")</f>
        <v/>
      </c>
      <c r="L74" s="5" t="str">
        <f>CONCATENATE("11 11.1 4b")</f>
        <v>11 11.1 4b</v>
      </c>
      <c r="M74" s="5" t="str">
        <f>CONCATENATE("02118990429")</f>
        <v>02118990429</v>
      </c>
      <c r="N74" s="5" t="s">
        <v>140</v>
      </c>
      <c r="O74" s="5" t="s">
        <v>55</v>
      </c>
      <c r="P74" s="6">
        <v>43927</v>
      </c>
      <c r="Q74" s="5" t="s">
        <v>31</v>
      </c>
      <c r="R74" s="5" t="s">
        <v>32</v>
      </c>
      <c r="S74" s="5" t="s">
        <v>33</v>
      </c>
      <c r="T74" s="5"/>
      <c r="U74" s="5">
        <v>946.9</v>
      </c>
      <c r="V74" s="5">
        <v>408.3</v>
      </c>
      <c r="W74" s="5">
        <v>377.06</v>
      </c>
      <c r="X74" s="5">
        <v>0</v>
      </c>
      <c r="Y74" s="5">
        <v>161.54</v>
      </c>
    </row>
    <row r="75" spans="1:25" ht="24.75" x14ac:dyDescent="0.25">
      <c r="A75" s="5" t="s">
        <v>26</v>
      </c>
      <c r="B75" s="5" t="s">
        <v>27</v>
      </c>
      <c r="C75" s="5" t="s">
        <v>47</v>
      </c>
      <c r="D75" s="5" t="s">
        <v>102</v>
      </c>
      <c r="E75" s="5" t="s">
        <v>42</v>
      </c>
      <c r="F75" s="5" t="s">
        <v>141</v>
      </c>
      <c r="G75" s="5">
        <v>2019</v>
      </c>
      <c r="H75" s="5" t="str">
        <f>CONCATENATE("94240548266")</f>
        <v>94240548266</v>
      </c>
      <c r="I75" s="5" t="s">
        <v>29</v>
      </c>
      <c r="J75" s="5" t="s">
        <v>36</v>
      </c>
      <c r="K75" s="5" t="str">
        <f>CONCATENATE("")</f>
        <v/>
      </c>
      <c r="L75" s="5" t="str">
        <f>CONCATENATE("11 11.2 4b")</f>
        <v>11 11.2 4b</v>
      </c>
      <c r="M75" s="5" t="str">
        <f>CONCATENATE("BLLMRS63B60D542Z")</f>
        <v>BLLMRS63B60D542Z</v>
      </c>
      <c r="N75" s="5" t="s">
        <v>142</v>
      </c>
      <c r="O75" s="5" t="s">
        <v>55</v>
      </c>
      <c r="P75" s="6">
        <v>43927</v>
      </c>
      <c r="Q75" s="5" t="s">
        <v>31</v>
      </c>
      <c r="R75" s="5" t="s">
        <v>32</v>
      </c>
      <c r="S75" s="5" t="s">
        <v>33</v>
      </c>
      <c r="T75" s="5"/>
      <c r="U75" s="7">
        <v>2370.3200000000002</v>
      </c>
      <c r="V75" s="7">
        <v>1022.08</v>
      </c>
      <c r="W75" s="5">
        <v>943.86</v>
      </c>
      <c r="X75" s="5">
        <v>0</v>
      </c>
      <c r="Y75" s="5">
        <v>404.38</v>
      </c>
    </row>
    <row r="76" spans="1:25" ht="24.75" x14ac:dyDescent="0.25">
      <c r="A76" s="5" t="s">
        <v>26</v>
      </c>
      <c r="B76" s="5" t="s">
        <v>27</v>
      </c>
      <c r="C76" s="5" t="s">
        <v>47</v>
      </c>
      <c r="D76" s="5" t="s">
        <v>52</v>
      </c>
      <c r="E76" s="5" t="s">
        <v>35</v>
      </c>
      <c r="F76" s="5" t="s">
        <v>66</v>
      </c>
      <c r="G76" s="5">
        <v>2019</v>
      </c>
      <c r="H76" s="5" t="str">
        <f>CONCATENATE("94240410152")</f>
        <v>94240410152</v>
      </c>
      <c r="I76" s="5" t="s">
        <v>29</v>
      </c>
      <c r="J76" s="5" t="s">
        <v>36</v>
      </c>
      <c r="K76" s="5" t="str">
        <f>CONCATENATE("")</f>
        <v/>
      </c>
      <c r="L76" s="5" t="str">
        <f>CONCATENATE("11 11.2 4b")</f>
        <v>11 11.2 4b</v>
      </c>
      <c r="M76" s="5" t="str">
        <f>CONCATENATE("CCCLSN77R24I459E")</f>
        <v>CCCLSN77R24I459E</v>
      </c>
      <c r="N76" s="5" t="s">
        <v>143</v>
      </c>
      <c r="O76" s="5" t="s">
        <v>55</v>
      </c>
      <c r="P76" s="6">
        <v>43927</v>
      </c>
      <c r="Q76" s="5" t="s">
        <v>31</v>
      </c>
      <c r="R76" s="5" t="s">
        <v>32</v>
      </c>
      <c r="S76" s="5" t="s">
        <v>33</v>
      </c>
      <c r="T76" s="5"/>
      <c r="U76" s="7">
        <v>2082.0700000000002</v>
      </c>
      <c r="V76" s="5">
        <v>897.79</v>
      </c>
      <c r="W76" s="5">
        <v>829.08</v>
      </c>
      <c r="X76" s="5">
        <v>0</v>
      </c>
      <c r="Y76" s="5">
        <v>355.2</v>
      </c>
    </row>
    <row r="77" spans="1:25" ht="24.75" x14ac:dyDescent="0.25">
      <c r="A77" s="5" t="s">
        <v>26</v>
      </c>
      <c r="B77" s="5" t="s">
        <v>27</v>
      </c>
      <c r="C77" s="5" t="s">
        <v>47</v>
      </c>
      <c r="D77" s="5" t="s">
        <v>52</v>
      </c>
      <c r="E77" s="5" t="s">
        <v>28</v>
      </c>
      <c r="F77" s="5" t="s">
        <v>98</v>
      </c>
      <c r="G77" s="5">
        <v>2019</v>
      </c>
      <c r="H77" s="5" t="str">
        <f>CONCATENATE("94240378946")</f>
        <v>94240378946</v>
      </c>
      <c r="I77" s="5" t="s">
        <v>29</v>
      </c>
      <c r="J77" s="5" t="s">
        <v>36</v>
      </c>
      <c r="K77" s="5" t="str">
        <f>CONCATENATE("")</f>
        <v/>
      </c>
      <c r="L77" s="5" t="str">
        <f>CONCATENATE("11 11.2 4b")</f>
        <v>11 11.2 4b</v>
      </c>
      <c r="M77" s="5" t="str">
        <f>CONCATENATE("CLSGCR50R28F467F")</f>
        <v>CLSGCR50R28F467F</v>
      </c>
      <c r="N77" s="5" t="s">
        <v>144</v>
      </c>
      <c r="O77" s="5" t="s">
        <v>55</v>
      </c>
      <c r="P77" s="6">
        <v>43927</v>
      </c>
      <c r="Q77" s="5" t="s">
        <v>31</v>
      </c>
      <c r="R77" s="5" t="s">
        <v>32</v>
      </c>
      <c r="S77" s="5" t="s">
        <v>33</v>
      </c>
      <c r="T77" s="5"/>
      <c r="U77" s="7">
        <v>1243.54</v>
      </c>
      <c r="V77" s="5">
        <v>536.21</v>
      </c>
      <c r="W77" s="5">
        <v>495.18</v>
      </c>
      <c r="X77" s="5">
        <v>0</v>
      </c>
      <c r="Y77" s="5">
        <v>212.15</v>
      </c>
    </row>
    <row r="78" spans="1:25" ht="24.75" x14ac:dyDescent="0.25">
      <c r="A78" s="5" t="s">
        <v>26</v>
      </c>
      <c r="B78" s="5" t="s">
        <v>27</v>
      </c>
      <c r="C78" s="5" t="s">
        <v>47</v>
      </c>
      <c r="D78" s="5" t="s">
        <v>52</v>
      </c>
      <c r="E78" s="5" t="s">
        <v>35</v>
      </c>
      <c r="F78" s="5" t="s">
        <v>145</v>
      </c>
      <c r="G78" s="5">
        <v>2019</v>
      </c>
      <c r="H78" s="5" t="str">
        <f>CONCATENATE("94240714710")</f>
        <v>94240714710</v>
      </c>
      <c r="I78" s="5" t="s">
        <v>29</v>
      </c>
      <c r="J78" s="5" t="s">
        <v>36</v>
      </c>
      <c r="K78" s="5" t="str">
        <f>CONCATENATE("")</f>
        <v/>
      </c>
      <c r="L78" s="5" t="str">
        <f>CONCATENATE("11 11.1 4b")</f>
        <v>11 11.1 4b</v>
      </c>
      <c r="M78" s="5" t="str">
        <f>CONCATENATE("SCCMTR96L43L500Z")</f>
        <v>SCCMTR96L43L500Z</v>
      </c>
      <c r="N78" s="5" t="s">
        <v>146</v>
      </c>
      <c r="O78" s="5" t="s">
        <v>55</v>
      </c>
      <c r="P78" s="6">
        <v>43927</v>
      </c>
      <c r="Q78" s="5" t="s">
        <v>31</v>
      </c>
      <c r="R78" s="5" t="s">
        <v>32</v>
      </c>
      <c r="S78" s="5" t="s">
        <v>33</v>
      </c>
      <c r="T78" s="5"/>
      <c r="U78" s="7">
        <v>1499.3</v>
      </c>
      <c r="V78" s="5">
        <v>646.5</v>
      </c>
      <c r="W78" s="5">
        <v>597.02</v>
      </c>
      <c r="X78" s="5">
        <v>0</v>
      </c>
      <c r="Y78" s="5">
        <v>255.78</v>
      </c>
    </row>
    <row r="79" spans="1:25" ht="24.75" x14ac:dyDescent="0.25">
      <c r="A79" s="5" t="s">
        <v>26</v>
      </c>
      <c r="B79" s="5" t="s">
        <v>27</v>
      </c>
      <c r="C79" s="5" t="s">
        <v>47</v>
      </c>
      <c r="D79" s="5" t="s">
        <v>102</v>
      </c>
      <c r="E79" s="5" t="s">
        <v>35</v>
      </c>
      <c r="F79" s="5" t="s">
        <v>112</v>
      </c>
      <c r="G79" s="5">
        <v>2019</v>
      </c>
      <c r="H79" s="5" t="str">
        <f>CONCATENATE("94240182629")</f>
        <v>94240182629</v>
      </c>
      <c r="I79" s="5" t="s">
        <v>29</v>
      </c>
      <c r="J79" s="5" t="s">
        <v>36</v>
      </c>
      <c r="K79" s="5" t="str">
        <f>CONCATENATE("")</f>
        <v/>
      </c>
      <c r="L79" s="5" t="str">
        <f>CONCATENATE("11 11.2 4b")</f>
        <v>11 11.2 4b</v>
      </c>
      <c r="M79" s="5" t="str">
        <f>CONCATENATE("MDNVRM72P69F205Y")</f>
        <v>MDNVRM72P69F205Y</v>
      </c>
      <c r="N79" s="5" t="s">
        <v>147</v>
      </c>
      <c r="O79" s="5" t="s">
        <v>55</v>
      </c>
      <c r="P79" s="6">
        <v>43927</v>
      </c>
      <c r="Q79" s="5" t="s">
        <v>31</v>
      </c>
      <c r="R79" s="5" t="s">
        <v>32</v>
      </c>
      <c r="S79" s="5" t="s">
        <v>33</v>
      </c>
      <c r="T79" s="5"/>
      <c r="U79" s="7">
        <v>3098.92</v>
      </c>
      <c r="V79" s="7">
        <v>1336.25</v>
      </c>
      <c r="W79" s="7">
        <v>1233.99</v>
      </c>
      <c r="X79" s="5">
        <v>0</v>
      </c>
      <c r="Y79" s="5">
        <v>528.67999999999995</v>
      </c>
    </row>
    <row r="80" spans="1:25" ht="24.75" x14ac:dyDescent="0.25">
      <c r="A80" s="5" t="s">
        <v>26</v>
      </c>
      <c r="B80" s="5" t="s">
        <v>27</v>
      </c>
      <c r="C80" s="5" t="s">
        <v>47</v>
      </c>
      <c r="D80" s="5" t="s">
        <v>102</v>
      </c>
      <c r="E80" s="5" t="s">
        <v>35</v>
      </c>
      <c r="F80" s="5" t="s">
        <v>112</v>
      </c>
      <c r="G80" s="5">
        <v>2018</v>
      </c>
      <c r="H80" s="5" t="str">
        <f>CONCATENATE("84240744742")</f>
        <v>84240744742</v>
      </c>
      <c r="I80" s="5" t="s">
        <v>29</v>
      </c>
      <c r="J80" s="5" t="s">
        <v>36</v>
      </c>
      <c r="K80" s="5" t="str">
        <f>CONCATENATE("")</f>
        <v/>
      </c>
      <c r="L80" s="5" t="str">
        <f>CONCATENATE("11 11.2 4b")</f>
        <v>11 11.2 4b</v>
      </c>
      <c r="M80" s="5" t="str">
        <f>CONCATENATE("MDNVRM72P69F205Y")</f>
        <v>MDNVRM72P69F205Y</v>
      </c>
      <c r="N80" s="5" t="s">
        <v>147</v>
      </c>
      <c r="O80" s="5" t="s">
        <v>55</v>
      </c>
      <c r="P80" s="6">
        <v>43927</v>
      </c>
      <c r="Q80" s="5" t="s">
        <v>31</v>
      </c>
      <c r="R80" s="5" t="s">
        <v>32</v>
      </c>
      <c r="S80" s="5" t="s">
        <v>33</v>
      </c>
      <c r="T80" s="5"/>
      <c r="U80" s="7">
        <v>3192.48</v>
      </c>
      <c r="V80" s="7">
        <v>1376.6</v>
      </c>
      <c r="W80" s="7">
        <v>1271.25</v>
      </c>
      <c r="X80" s="5">
        <v>0</v>
      </c>
      <c r="Y80" s="5">
        <v>544.63</v>
      </c>
    </row>
    <row r="81" spans="1:25" ht="24.75" x14ac:dyDescent="0.25">
      <c r="A81" s="5" t="s">
        <v>26</v>
      </c>
      <c r="B81" s="5" t="s">
        <v>27</v>
      </c>
      <c r="C81" s="5" t="s">
        <v>47</v>
      </c>
      <c r="D81" s="5" t="s">
        <v>48</v>
      </c>
      <c r="E81" s="5" t="s">
        <v>35</v>
      </c>
      <c r="F81" s="5" t="s">
        <v>85</v>
      </c>
      <c r="G81" s="5">
        <v>2019</v>
      </c>
      <c r="H81" s="5" t="str">
        <f>CONCATENATE("94240471998")</f>
        <v>94240471998</v>
      </c>
      <c r="I81" s="5" t="s">
        <v>29</v>
      </c>
      <c r="J81" s="5" t="s">
        <v>36</v>
      </c>
      <c r="K81" s="5" t="str">
        <f>CONCATENATE("")</f>
        <v/>
      </c>
      <c r="L81" s="5" t="str">
        <f>CONCATENATE("11 11.2 4b")</f>
        <v>11 11.2 4b</v>
      </c>
      <c r="M81" s="5" t="str">
        <f>CONCATENATE("FRNLGU38L10G478C")</f>
        <v>FRNLGU38L10G478C</v>
      </c>
      <c r="N81" s="5" t="s">
        <v>148</v>
      </c>
      <c r="O81" s="5" t="s">
        <v>55</v>
      </c>
      <c r="P81" s="6">
        <v>43927</v>
      </c>
      <c r="Q81" s="5" t="s">
        <v>31</v>
      </c>
      <c r="R81" s="5" t="s">
        <v>32</v>
      </c>
      <c r="S81" s="5" t="s">
        <v>33</v>
      </c>
      <c r="T81" s="5"/>
      <c r="U81" s="7">
        <v>10882.45</v>
      </c>
      <c r="V81" s="7">
        <v>4692.51</v>
      </c>
      <c r="W81" s="7">
        <v>4333.3900000000003</v>
      </c>
      <c r="X81" s="5">
        <v>0</v>
      </c>
      <c r="Y81" s="7">
        <v>1856.55</v>
      </c>
    </row>
    <row r="82" spans="1:25" ht="24.75" x14ac:dyDescent="0.25">
      <c r="A82" s="5" t="s">
        <v>26</v>
      </c>
      <c r="B82" s="5" t="s">
        <v>27</v>
      </c>
      <c r="C82" s="5" t="s">
        <v>47</v>
      </c>
      <c r="D82" s="5" t="s">
        <v>52</v>
      </c>
      <c r="E82" s="5" t="s">
        <v>35</v>
      </c>
      <c r="F82" s="5" t="s">
        <v>145</v>
      </c>
      <c r="G82" s="5">
        <v>2019</v>
      </c>
      <c r="H82" s="5" t="str">
        <f>CONCATENATE("94240886062")</f>
        <v>94240886062</v>
      </c>
      <c r="I82" s="5" t="s">
        <v>29</v>
      </c>
      <c r="J82" s="5" t="s">
        <v>36</v>
      </c>
      <c r="K82" s="5" t="str">
        <f>CONCATENATE("")</f>
        <v/>
      </c>
      <c r="L82" s="5" t="str">
        <f>CONCATENATE("11 11.1 4b")</f>
        <v>11 11.1 4b</v>
      </c>
      <c r="M82" s="5" t="str">
        <f>CONCATENATE("BLLFPP70M21D007S")</f>
        <v>BLLFPP70M21D007S</v>
      </c>
      <c r="N82" s="5" t="s">
        <v>149</v>
      </c>
      <c r="O82" s="5" t="s">
        <v>55</v>
      </c>
      <c r="P82" s="6">
        <v>43927</v>
      </c>
      <c r="Q82" s="5" t="s">
        <v>31</v>
      </c>
      <c r="R82" s="5" t="s">
        <v>32</v>
      </c>
      <c r="S82" s="5" t="s">
        <v>33</v>
      </c>
      <c r="T82" s="5"/>
      <c r="U82" s="5">
        <v>345.89</v>
      </c>
      <c r="V82" s="5">
        <v>149.15</v>
      </c>
      <c r="W82" s="5">
        <v>137.72999999999999</v>
      </c>
      <c r="X82" s="5">
        <v>0</v>
      </c>
      <c r="Y82" s="5">
        <v>59.01</v>
      </c>
    </row>
    <row r="83" spans="1:25" ht="24.75" x14ac:dyDescent="0.25">
      <c r="A83" s="5" t="s">
        <v>26</v>
      </c>
      <c r="B83" s="5" t="s">
        <v>27</v>
      </c>
      <c r="C83" s="5" t="s">
        <v>47</v>
      </c>
      <c r="D83" s="5" t="s">
        <v>48</v>
      </c>
      <c r="E83" s="5" t="s">
        <v>38</v>
      </c>
      <c r="F83" s="5" t="s">
        <v>58</v>
      </c>
      <c r="G83" s="5">
        <v>2019</v>
      </c>
      <c r="H83" s="5" t="str">
        <f>CONCATENATE("94241164485")</f>
        <v>94241164485</v>
      </c>
      <c r="I83" s="5" t="s">
        <v>29</v>
      </c>
      <c r="J83" s="5" t="s">
        <v>36</v>
      </c>
      <c r="K83" s="5" t="str">
        <f>CONCATENATE("")</f>
        <v/>
      </c>
      <c r="L83" s="5" t="str">
        <f>CONCATENATE("11 11.1 4b")</f>
        <v>11 11.1 4b</v>
      </c>
      <c r="M83" s="5" t="str">
        <f>CONCATENATE("01776160432")</f>
        <v>01776160432</v>
      </c>
      <c r="N83" s="5" t="s">
        <v>107</v>
      </c>
      <c r="O83" s="5" t="s">
        <v>55</v>
      </c>
      <c r="P83" s="6">
        <v>43927</v>
      </c>
      <c r="Q83" s="5" t="s">
        <v>31</v>
      </c>
      <c r="R83" s="5" t="s">
        <v>32</v>
      </c>
      <c r="S83" s="5" t="s">
        <v>33</v>
      </c>
      <c r="T83" s="5"/>
      <c r="U83" s="7">
        <v>5955.65</v>
      </c>
      <c r="V83" s="7">
        <v>2568.08</v>
      </c>
      <c r="W83" s="7">
        <v>2371.54</v>
      </c>
      <c r="X83" s="5">
        <v>0</v>
      </c>
      <c r="Y83" s="7">
        <v>1016.03</v>
      </c>
    </row>
    <row r="84" spans="1:25" ht="24.75" x14ac:dyDescent="0.25">
      <c r="A84" s="5" t="s">
        <v>26</v>
      </c>
      <c r="B84" s="5" t="s">
        <v>27</v>
      </c>
      <c r="C84" s="5" t="s">
        <v>47</v>
      </c>
      <c r="D84" s="5" t="s">
        <v>48</v>
      </c>
      <c r="E84" s="5" t="s">
        <v>35</v>
      </c>
      <c r="F84" s="5" t="s">
        <v>150</v>
      </c>
      <c r="G84" s="5">
        <v>2019</v>
      </c>
      <c r="H84" s="5" t="str">
        <f>CONCATENATE("94241697039")</f>
        <v>94241697039</v>
      </c>
      <c r="I84" s="5" t="s">
        <v>29</v>
      </c>
      <c r="J84" s="5" t="s">
        <v>36</v>
      </c>
      <c r="K84" s="5" t="str">
        <f>CONCATENATE("")</f>
        <v/>
      </c>
      <c r="L84" s="5" t="str">
        <f>CONCATENATE("11 11.1 4b")</f>
        <v>11 11.1 4b</v>
      </c>
      <c r="M84" s="5" t="str">
        <f>CONCATENATE("02731480428")</f>
        <v>02731480428</v>
      </c>
      <c r="N84" s="5" t="s">
        <v>151</v>
      </c>
      <c r="O84" s="5" t="s">
        <v>55</v>
      </c>
      <c r="P84" s="6">
        <v>43927</v>
      </c>
      <c r="Q84" s="5" t="s">
        <v>31</v>
      </c>
      <c r="R84" s="5" t="s">
        <v>32</v>
      </c>
      <c r="S84" s="5" t="s">
        <v>33</v>
      </c>
      <c r="T84" s="5"/>
      <c r="U84" s="7">
        <v>1811.52</v>
      </c>
      <c r="V84" s="5">
        <v>781.13</v>
      </c>
      <c r="W84" s="5">
        <v>721.35</v>
      </c>
      <c r="X84" s="5">
        <v>0</v>
      </c>
      <c r="Y84" s="5">
        <v>309.04000000000002</v>
      </c>
    </row>
    <row r="85" spans="1:25" ht="24.75" x14ac:dyDescent="0.25">
      <c r="A85" s="5" t="s">
        <v>26</v>
      </c>
      <c r="B85" s="5" t="s">
        <v>27</v>
      </c>
      <c r="C85" s="5" t="s">
        <v>47</v>
      </c>
      <c r="D85" s="5" t="s">
        <v>52</v>
      </c>
      <c r="E85" s="5" t="s">
        <v>37</v>
      </c>
      <c r="F85" s="5" t="s">
        <v>152</v>
      </c>
      <c r="G85" s="5">
        <v>2019</v>
      </c>
      <c r="H85" s="5" t="str">
        <f>CONCATENATE("94240864622")</f>
        <v>94240864622</v>
      </c>
      <c r="I85" s="5" t="s">
        <v>29</v>
      </c>
      <c r="J85" s="5" t="s">
        <v>36</v>
      </c>
      <c r="K85" s="5" t="str">
        <f>CONCATENATE("")</f>
        <v/>
      </c>
      <c r="L85" s="5" t="str">
        <f>CONCATENATE("11 11.2 4b")</f>
        <v>11 11.2 4b</v>
      </c>
      <c r="M85" s="5" t="str">
        <f>CONCATENATE("01406820413")</f>
        <v>01406820413</v>
      </c>
      <c r="N85" s="5" t="s">
        <v>153</v>
      </c>
      <c r="O85" s="5" t="s">
        <v>55</v>
      </c>
      <c r="P85" s="6">
        <v>43927</v>
      </c>
      <c r="Q85" s="5" t="s">
        <v>31</v>
      </c>
      <c r="R85" s="5" t="s">
        <v>32</v>
      </c>
      <c r="S85" s="5" t="s">
        <v>33</v>
      </c>
      <c r="T85" s="5"/>
      <c r="U85" s="7">
        <v>47641.68</v>
      </c>
      <c r="V85" s="7">
        <v>20543.09</v>
      </c>
      <c r="W85" s="7">
        <v>18970.919999999998</v>
      </c>
      <c r="X85" s="5">
        <v>0</v>
      </c>
      <c r="Y85" s="7">
        <v>8127.67</v>
      </c>
    </row>
    <row r="86" spans="1:25" ht="24.75" x14ac:dyDescent="0.25">
      <c r="A86" s="5" t="s">
        <v>26</v>
      </c>
      <c r="B86" s="5" t="s">
        <v>27</v>
      </c>
      <c r="C86" s="5" t="s">
        <v>47</v>
      </c>
      <c r="D86" s="5" t="s">
        <v>48</v>
      </c>
      <c r="E86" s="5" t="s">
        <v>35</v>
      </c>
      <c r="F86" s="5" t="s">
        <v>154</v>
      </c>
      <c r="G86" s="5">
        <v>2019</v>
      </c>
      <c r="H86" s="5" t="str">
        <f>CONCATENATE("94240378359")</f>
        <v>94240378359</v>
      </c>
      <c r="I86" s="5" t="s">
        <v>29</v>
      </c>
      <c r="J86" s="5" t="s">
        <v>36</v>
      </c>
      <c r="K86" s="5" t="str">
        <f>CONCATENATE("")</f>
        <v/>
      </c>
      <c r="L86" s="5" t="str">
        <f>CONCATENATE("11 11.1 4b")</f>
        <v>11 11.1 4b</v>
      </c>
      <c r="M86" s="5" t="str">
        <f>CONCATENATE("MNNDNL76E57E388V")</f>
        <v>MNNDNL76E57E388V</v>
      </c>
      <c r="N86" s="5" t="s">
        <v>155</v>
      </c>
      <c r="O86" s="5" t="s">
        <v>55</v>
      </c>
      <c r="P86" s="6">
        <v>43927</v>
      </c>
      <c r="Q86" s="5" t="s">
        <v>31</v>
      </c>
      <c r="R86" s="5" t="s">
        <v>32</v>
      </c>
      <c r="S86" s="5" t="s">
        <v>33</v>
      </c>
      <c r="T86" s="5"/>
      <c r="U86" s="7">
        <v>1962.43</v>
      </c>
      <c r="V86" s="5">
        <v>846.2</v>
      </c>
      <c r="W86" s="5">
        <v>781.44</v>
      </c>
      <c r="X86" s="5">
        <v>0</v>
      </c>
      <c r="Y86" s="5">
        <v>334.79</v>
      </c>
    </row>
    <row r="87" spans="1:25" ht="24.75" x14ac:dyDescent="0.25">
      <c r="A87" s="5" t="s">
        <v>26</v>
      </c>
      <c r="B87" s="5" t="s">
        <v>27</v>
      </c>
      <c r="C87" s="5" t="s">
        <v>47</v>
      </c>
      <c r="D87" s="5" t="s">
        <v>102</v>
      </c>
      <c r="E87" s="5" t="s">
        <v>38</v>
      </c>
      <c r="F87" s="5" t="s">
        <v>156</v>
      </c>
      <c r="G87" s="5">
        <v>2019</v>
      </c>
      <c r="H87" s="5" t="str">
        <f>CONCATENATE("94241696254")</f>
        <v>94241696254</v>
      </c>
      <c r="I87" s="5" t="s">
        <v>29</v>
      </c>
      <c r="J87" s="5" t="s">
        <v>36</v>
      </c>
      <c r="K87" s="5" t="str">
        <f>CONCATENATE("")</f>
        <v/>
      </c>
      <c r="L87" s="5" t="str">
        <f>CONCATENATE("11 11.1 4b")</f>
        <v>11 11.1 4b</v>
      </c>
      <c r="M87" s="5" t="str">
        <f>CONCATENATE("TLMGPP37E68E868H")</f>
        <v>TLMGPP37E68E868H</v>
      </c>
      <c r="N87" s="5" t="s">
        <v>157</v>
      </c>
      <c r="O87" s="5" t="s">
        <v>158</v>
      </c>
      <c r="P87" s="6">
        <v>43927</v>
      </c>
      <c r="Q87" s="5" t="s">
        <v>31</v>
      </c>
      <c r="R87" s="5" t="s">
        <v>32</v>
      </c>
      <c r="S87" s="5" t="s">
        <v>33</v>
      </c>
      <c r="T87" s="5"/>
      <c r="U87" s="7">
        <v>24842.9</v>
      </c>
      <c r="V87" s="7">
        <v>10712.26</v>
      </c>
      <c r="W87" s="7">
        <v>9892.44</v>
      </c>
      <c r="X87" s="5">
        <v>0</v>
      </c>
      <c r="Y87" s="7">
        <v>4238.2</v>
      </c>
    </row>
    <row r="88" spans="1:25" ht="24.75" x14ac:dyDescent="0.25">
      <c r="A88" s="5" t="s">
        <v>26</v>
      </c>
      <c r="B88" s="5" t="s">
        <v>27</v>
      </c>
      <c r="C88" s="5" t="s">
        <v>47</v>
      </c>
      <c r="D88" s="5" t="s">
        <v>102</v>
      </c>
      <c r="E88" s="5" t="s">
        <v>28</v>
      </c>
      <c r="F88" s="5" t="s">
        <v>159</v>
      </c>
      <c r="G88" s="5">
        <v>2018</v>
      </c>
      <c r="H88" s="5" t="str">
        <f>CONCATENATE("84240667562")</f>
        <v>84240667562</v>
      </c>
      <c r="I88" s="5" t="s">
        <v>29</v>
      </c>
      <c r="J88" s="5" t="s">
        <v>36</v>
      </c>
      <c r="K88" s="5" t="str">
        <f>CONCATENATE("")</f>
        <v/>
      </c>
      <c r="L88" s="5" t="str">
        <f>CONCATENATE("11 11.1 4b")</f>
        <v>11 11.1 4b</v>
      </c>
      <c r="M88" s="5" t="str">
        <f>CONCATENATE("01435150444")</f>
        <v>01435150444</v>
      </c>
      <c r="N88" s="5" t="s">
        <v>160</v>
      </c>
      <c r="O88" s="5" t="s">
        <v>158</v>
      </c>
      <c r="P88" s="6">
        <v>43927</v>
      </c>
      <c r="Q88" s="5" t="s">
        <v>31</v>
      </c>
      <c r="R88" s="5" t="s">
        <v>32</v>
      </c>
      <c r="S88" s="5" t="s">
        <v>33</v>
      </c>
      <c r="T88" s="5"/>
      <c r="U88" s="5">
        <v>205.31</v>
      </c>
      <c r="V88" s="5">
        <v>88.53</v>
      </c>
      <c r="W88" s="5">
        <v>81.75</v>
      </c>
      <c r="X88" s="5">
        <v>0</v>
      </c>
      <c r="Y88" s="5">
        <v>35.03</v>
      </c>
    </row>
    <row r="89" spans="1:25" ht="24.75" x14ac:dyDescent="0.25">
      <c r="A89" s="5" t="s">
        <v>26</v>
      </c>
      <c r="B89" s="5" t="s">
        <v>27</v>
      </c>
      <c r="C89" s="5" t="s">
        <v>47</v>
      </c>
      <c r="D89" s="5" t="s">
        <v>102</v>
      </c>
      <c r="E89" s="5" t="s">
        <v>39</v>
      </c>
      <c r="F89" s="5" t="s">
        <v>39</v>
      </c>
      <c r="G89" s="5">
        <v>2019</v>
      </c>
      <c r="H89" s="5" t="str">
        <f>CONCATENATE("94240649288")</f>
        <v>94240649288</v>
      </c>
      <c r="I89" s="5" t="s">
        <v>29</v>
      </c>
      <c r="J89" s="5" t="s">
        <v>36</v>
      </c>
      <c r="K89" s="5" t="str">
        <f>CONCATENATE("")</f>
        <v/>
      </c>
      <c r="L89" s="5" t="str">
        <f>CONCATENATE("11 11.1 4b")</f>
        <v>11 11.1 4b</v>
      </c>
      <c r="M89" s="5" t="str">
        <f>CONCATENATE("01839990445")</f>
        <v>01839990445</v>
      </c>
      <c r="N89" s="5" t="s">
        <v>161</v>
      </c>
      <c r="O89" s="5" t="s">
        <v>158</v>
      </c>
      <c r="P89" s="6">
        <v>43927</v>
      </c>
      <c r="Q89" s="5" t="s">
        <v>31</v>
      </c>
      <c r="R89" s="5" t="s">
        <v>32</v>
      </c>
      <c r="S89" s="5" t="s">
        <v>33</v>
      </c>
      <c r="T89" s="5"/>
      <c r="U89" s="7">
        <v>5174.87</v>
      </c>
      <c r="V89" s="7">
        <v>2231.4</v>
      </c>
      <c r="W89" s="7">
        <v>2060.63</v>
      </c>
      <c r="X89" s="5">
        <v>0</v>
      </c>
      <c r="Y89" s="5">
        <v>882.84</v>
      </c>
    </row>
    <row r="90" spans="1:25" ht="24.75" x14ac:dyDescent="0.25">
      <c r="A90" s="5" t="s">
        <v>26</v>
      </c>
      <c r="B90" s="5" t="s">
        <v>27</v>
      </c>
      <c r="C90" s="5" t="s">
        <v>47</v>
      </c>
      <c r="D90" s="5" t="s">
        <v>52</v>
      </c>
      <c r="E90" s="5" t="s">
        <v>28</v>
      </c>
      <c r="F90" s="5" t="s">
        <v>98</v>
      </c>
      <c r="G90" s="5">
        <v>2019</v>
      </c>
      <c r="H90" s="5" t="str">
        <f>CONCATENATE("94210254481")</f>
        <v>94210254481</v>
      </c>
      <c r="I90" s="5" t="s">
        <v>29</v>
      </c>
      <c r="J90" s="5" t="s">
        <v>36</v>
      </c>
      <c r="K90" s="5" t="str">
        <f>CONCATENATE("")</f>
        <v/>
      </c>
      <c r="L90" s="5" t="str">
        <f>CONCATENATE("13 13.1 4a")</f>
        <v>13 13.1 4a</v>
      </c>
      <c r="M90" s="5" t="str">
        <f>CONCATENATE("MNTLEI41C05F136U")</f>
        <v>MNTLEI41C05F136U</v>
      </c>
      <c r="N90" s="5" t="s">
        <v>162</v>
      </c>
      <c r="O90" s="5" t="s">
        <v>163</v>
      </c>
      <c r="P90" s="6">
        <v>43927</v>
      </c>
      <c r="Q90" s="5" t="s">
        <v>31</v>
      </c>
      <c r="R90" s="5" t="s">
        <v>32</v>
      </c>
      <c r="S90" s="5" t="s">
        <v>33</v>
      </c>
      <c r="T90" s="5"/>
      <c r="U90" s="5">
        <v>506.92</v>
      </c>
      <c r="V90" s="5">
        <v>218.58</v>
      </c>
      <c r="W90" s="5">
        <v>201.86</v>
      </c>
      <c r="X90" s="5">
        <v>0</v>
      </c>
      <c r="Y90" s="5">
        <v>86.48</v>
      </c>
    </row>
    <row r="91" spans="1:25" ht="24.75" x14ac:dyDescent="0.25">
      <c r="A91" s="5" t="s">
        <v>26</v>
      </c>
      <c r="B91" s="5" t="s">
        <v>27</v>
      </c>
      <c r="C91" s="5" t="s">
        <v>47</v>
      </c>
      <c r="D91" s="5" t="s">
        <v>52</v>
      </c>
      <c r="E91" s="5" t="s">
        <v>35</v>
      </c>
      <c r="F91" s="5" t="s">
        <v>56</v>
      </c>
      <c r="G91" s="5">
        <v>2018</v>
      </c>
      <c r="H91" s="5" t="str">
        <f>CONCATENATE("84210224048")</f>
        <v>84210224048</v>
      </c>
      <c r="I91" s="5" t="s">
        <v>43</v>
      </c>
      <c r="J91" s="5" t="s">
        <v>36</v>
      </c>
      <c r="K91" s="5" t="str">
        <f>CONCATENATE("")</f>
        <v/>
      </c>
      <c r="L91" s="5" t="str">
        <f>CONCATENATE("13 13.1 4a")</f>
        <v>13 13.1 4a</v>
      </c>
      <c r="M91" s="5" t="str">
        <f>CONCATENATE("VDVCLD55L19D749R")</f>
        <v>VDVCLD55L19D749R</v>
      </c>
      <c r="N91" s="5" t="s">
        <v>114</v>
      </c>
      <c r="O91" s="5" t="s">
        <v>163</v>
      </c>
      <c r="P91" s="6">
        <v>43927</v>
      </c>
      <c r="Q91" s="5" t="s">
        <v>31</v>
      </c>
      <c r="R91" s="5" t="s">
        <v>32</v>
      </c>
      <c r="S91" s="5" t="s">
        <v>33</v>
      </c>
      <c r="T91" s="5"/>
      <c r="U91" s="7">
        <v>1658.32</v>
      </c>
      <c r="V91" s="5">
        <v>715.07</v>
      </c>
      <c r="W91" s="5">
        <v>660.34</v>
      </c>
      <c r="X91" s="5">
        <v>0</v>
      </c>
      <c r="Y91" s="5">
        <v>282.91000000000003</v>
      </c>
    </row>
    <row r="92" spans="1:25" x14ac:dyDescent="0.25">
      <c r="A92" s="5" t="s">
        <v>26</v>
      </c>
      <c r="B92" s="5" t="s">
        <v>27</v>
      </c>
      <c r="C92" s="5" t="s">
        <v>47</v>
      </c>
      <c r="D92" s="5" t="s">
        <v>164</v>
      </c>
      <c r="E92" s="5" t="s">
        <v>40</v>
      </c>
      <c r="F92" s="5" t="s">
        <v>165</v>
      </c>
      <c r="G92" s="5">
        <v>2019</v>
      </c>
      <c r="H92" s="5" t="str">
        <f>CONCATENATE("94211373132")</f>
        <v>94211373132</v>
      </c>
      <c r="I92" s="5" t="s">
        <v>29</v>
      </c>
      <c r="J92" s="5" t="s">
        <v>36</v>
      </c>
      <c r="K92" s="5" t="str">
        <f>CONCATENATE("")</f>
        <v/>
      </c>
      <c r="L92" s="5" t="str">
        <f>CONCATENATE("13 13.1 4a")</f>
        <v>13 13.1 4a</v>
      </c>
      <c r="M92" s="5" t="str">
        <f>CONCATENATE("SNTLTT66E68D597Y")</f>
        <v>SNTLTT66E68D597Y</v>
      </c>
      <c r="N92" s="5" t="s">
        <v>166</v>
      </c>
      <c r="O92" s="5" t="s">
        <v>163</v>
      </c>
      <c r="P92" s="6">
        <v>43927</v>
      </c>
      <c r="Q92" s="5" t="s">
        <v>31</v>
      </c>
      <c r="R92" s="5" t="s">
        <v>32</v>
      </c>
      <c r="S92" s="5" t="s">
        <v>33</v>
      </c>
      <c r="T92" s="5"/>
      <c r="U92" s="7">
        <v>3181.06</v>
      </c>
      <c r="V92" s="7">
        <v>1371.67</v>
      </c>
      <c r="W92" s="7">
        <v>1266.7</v>
      </c>
      <c r="X92" s="5">
        <v>0</v>
      </c>
      <c r="Y92" s="5">
        <v>542.69000000000005</v>
      </c>
    </row>
    <row r="93" spans="1:25" ht="24.75" x14ac:dyDescent="0.25">
      <c r="A93" s="5" t="s">
        <v>26</v>
      </c>
      <c r="B93" s="5" t="s">
        <v>27</v>
      </c>
      <c r="C93" s="5" t="s">
        <v>47</v>
      </c>
      <c r="D93" s="5" t="s">
        <v>102</v>
      </c>
      <c r="E93" s="5" t="s">
        <v>167</v>
      </c>
      <c r="F93" s="5" t="s">
        <v>168</v>
      </c>
      <c r="G93" s="5">
        <v>2019</v>
      </c>
      <c r="H93" s="5" t="str">
        <f>CONCATENATE("94240566086")</f>
        <v>94240566086</v>
      </c>
      <c r="I93" s="5" t="s">
        <v>29</v>
      </c>
      <c r="J93" s="5" t="s">
        <v>36</v>
      </c>
      <c r="K93" s="5" t="str">
        <f>CONCATENATE("")</f>
        <v/>
      </c>
      <c r="L93" s="5" t="str">
        <f>CONCATENATE("11 11.2 4b")</f>
        <v>11 11.2 4b</v>
      </c>
      <c r="M93" s="5" t="str">
        <f>CONCATENATE("04738390261")</f>
        <v>04738390261</v>
      </c>
      <c r="N93" s="5" t="s">
        <v>169</v>
      </c>
      <c r="O93" s="5" t="s">
        <v>158</v>
      </c>
      <c r="P93" s="6">
        <v>43927</v>
      </c>
      <c r="Q93" s="5" t="s">
        <v>31</v>
      </c>
      <c r="R93" s="5" t="s">
        <v>32</v>
      </c>
      <c r="S93" s="5" t="s">
        <v>33</v>
      </c>
      <c r="T93" s="5"/>
      <c r="U93" s="7">
        <v>1289.75</v>
      </c>
      <c r="V93" s="5">
        <v>556.14</v>
      </c>
      <c r="W93" s="5">
        <v>513.58000000000004</v>
      </c>
      <c r="X93" s="5">
        <v>0</v>
      </c>
      <c r="Y93" s="5">
        <v>220.03</v>
      </c>
    </row>
    <row r="94" spans="1:25" ht="24.75" x14ac:dyDescent="0.25">
      <c r="A94" s="5" t="s">
        <v>26</v>
      </c>
      <c r="B94" s="5" t="s">
        <v>27</v>
      </c>
      <c r="C94" s="5" t="s">
        <v>47</v>
      </c>
      <c r="D94" s="5" t="s">
        <v>102</v>
      </c>
      <c r="E94" s="5" t="s">
        <v>35</v>
      </c>
      <c r="F94" s="5" t="s">
        <v>112</v>
      </c>
      <c r="G94" s="5">
        <v>2018</v>
      </c>
      <c r="H94" s="5" t="str">
        <f>CONCATENATE("84240547566")</f>
        <v>84240547566</v>
      </c>
      <c r="I94" s="5" t="s">
        <v>29</v>
      </c>
      <c r="J94" s="5" t="s">
        <v>36</v>
      </c>
      <c r="K94" s="5" t="str">
        <f>CONCATENATE("")</f>
        <v/>
      </c>
      <c r="L94" s="5" t="str">
        <f>CONCATENATE("11 11.1 4b")</f>
        <v>11 11.1 4b</v>
      </c>
      <c r="M94" s="5" t="str">
        <f>CONCATENATE("PNCMHL87S01A462P")</f>
        <v>PNCMHL87S01A462P</v>
      </c>
      <c r="N94" s="5" t="s">
        <v>170</v>
      </c>
      <c r="O94" s="5" t="s">
        <v>158</v>
      </c>
      <c r="P94" s="6">
        <v>43927</v>
      </c>
      <c r="Q94" s="5" t="s">
        <v>31</v>
      </c>
      <c r="R94" s="5" t="s">
        <v>32</v>
      </c>
      <c r="S94" s="5" t="s">
        <v>33</v>
      </c>
      <c r="T94" s="5"/>
      <c r="U94" s="5">
        <v>240.06</v>
      </c>
      <c r="V94" s="5">
        <v>103.51</v>
      </c>
      <c r="W94" s="5">
        <v>95.59</v>
      </c>
      <c r="X94" s="5">
        <v>0</v>
      </c>
      <c r="Y94" s="5">
        <v>40.96</v>
      </c>
    </row>
    <row r="95" spans="1:25" ht="24.75" x14ac:dyDescent="0.25">
      <c r="A95" s="5" t="s">
        <v>26</v>
      </c>
      <c r="B95" s="5" t="s">
        <v>27</v>
      </c>
      <c r="C95" s="5" t="s">
        <v>47</v>
      </c>
      <c r="D95" s="5" t="s">
        <v>52</v>
      </c>
      <c r="E95" s="5" t="s">
        <v>35</v>
      </c>
      <c r="F95" s="5" t="s">
        <v>53</v>
      </c>
      <c r="G95" s="5">
        <v>2019</v>
      </c>
      <c r="H95" s="5" t="str">
        <f>CONCATENATE("94240512171")</f>
        <v>94240512171</v>
      </c>
      <c r="I95" s="5" t="s">
        <v>29</v>
      </c>
      <c r="J95" s="5" t="s">
        <v>36</v>
      </c>
      <c r="K95" s="5" t="str">
        <f>CONCATENATE("")</f>
        <v/>
      </c>
      <c r="L95" s="5" t="str">
        <f>CONCATENATE("11 11.2 4b")</f>
        <v>11 11.2 4b</v>
      </c>
      <c r="M95" s="5" t="str">
        <f>CONCATENATE("02276370414")</f>
        <v>02276370414</v>
      </c>
      <c r="N95" s="5" t="s">
        <v>171</v>
      </c>
      <c r="O95" s="5" t="s">
        <v>172</v>
      </c>
      <c r="P95" s="6">
        <v>43927</v>
      </c>
      <c r="Q95" s="5" t="s">
        <v>31</v>
      </c>
      <c r="R95" s="5" t="s">
        <v>32</v>
      </c>
      <c r="S95" s="5" t="s">
        <v>33</v>
      </c>
      <c r="T95" s="5"/>
      <c r="U95" s="7">
        <v>1464.17</v>
      </c>
      <c r="V95" s="5">
        <v>631.35</v>
      </c>
      <c r="W95" s="5">
        <v>583.03</v>
      </c>
      <c r="X95" s="5">
        <v>0</v>
      </c>
      <c r="Y95" s="5">
        <v>249.79</v>
      </c>
    </row>
    <row r="96" spans="1:25" ht="24.75" x14ac:dyDescent="0.25">
      <c r="A96" s="5" t="s">
        <v>26</v>
      </c>
      <c r="B96" s="5" t="s">
        <v>27</v>
      </c>
      <c r="C96" s="5" t="s">
        <v>47</v>
      </c>
      <c r="D96" s="5" t="s">
        <v>52</v>
      </c>
      <c r="E96" s="5" t="s">
        <v>35</v>
      </c>
      <c r="F96" s="5" t="s">
        <v>91</v>
      </c>
      <c r="G96" s="5">
        <v>2019</v>
      </c>
      <c r="H96" s="5" t="str">
        <f>CONCATENATE("94240652696")</f>
        <v>94240652696</v>
      </c>
      <c r="I96" s="5" t="s">
        <v>29</v>
      </c>
      <c r="J96" s="5" t="s">
        <v>36</v>
      </c>
      <c r="K96" s="5" t="str">
        <f>CONCATENATE("")</f>
        <v/>
      </c>
      <c r="L96" s="5" t="str">
        <f>CONCATENATE("11 11.2 4b")</f>
        <v>11 11.2 4b</v>
      </c>
      <c r="M96" s="5" t="str">
        <f>CONCATENATE("PNNCSR70S28D488A")</f>
        <v>PNNCSR70S28D488A</v>
      </c>
      <c r="N96" s="5" t="s">
        <v>173</v>
      </c>
      <c r="O96" s="5" t="s">
        <v>172</v>
      </c>
      <c r="P96" s="6">
        <v>43927</v>
      </c>
      <c r="Q96" s="5" t="s">
        <v>31</v>
      </c>
      <c r="R96" s="5" t="s">
        <v>32</v>
      </c>
      <c r="S96" s="5" t="s">
        <v>33</v>
      </c>
      <c r="T96" s="5"/>
      <c r="U96" s="5">
        <v>86.85</v>
      </c>
      <c r="V96" s="5">
        <v>37.450000000000003</v>
      </c>
      <c r="W96" s="5">
        <v>34.58</v>
      </c>
      <c r="X96" s="5">
        <v>0</v>
      </c>
      <c r="Y96" s="5">
        <v>14.82</v>
      </c>
    </row>
    <row r="97" spans="1:25" ht="24.75" x14ac:dyDescent="0.25">
      <c r="A97" s="5" t="s">
        <v>26</v>
      </c>
      <c r="B97" s="5" t="s">
        <v>27</v>
      </c>
      <c r="C97" s="5" t="s">
        <v>47</v>
      </c>
      <c r="D97" s="5" t="s">
        <v>52</v>
      </c>
      <c r="E97" s="5" t="s">
        <v>42</v>
      </c>
      <c r="F97" s="5" t="s">
        <v>73</v>
      </c>
      <c r="G97" s="5">
        <v>2019</v>
      </c>
      <c r="H97" s="5" t="str">
        <f>CONCATENATE("94210896075")</f>
        <v>94210896075</v>
      </c>
      <c r="I97" s="5" t="s">
        <v>29</v>
      </c>
      <c r="J97" s="5" t="s">
        <v>36</v>
      </c>
      <c r="K97" s="5" t="str">
        <f>CONCATENATE("")</f>
        <v/>
      </c>
      <c r="L97" s="5" t="str">
        <f>CONCATENATE("13 13.1 4a")</f>
        <v>13 13.1 4a</v>
      </c>
      <c r="M97" s="5" t="str">
        <f>CONCATENATE("CNCNDR90M21I459O")</f>
        <v>CNCNDR90M21I459O</v>
      </c>
      <c r="N97" s="5" t="s">
        <v>74</v>
      </c>
      <c r="O97" s="5" t="s">
        <v>174</v>
      </c>
      <c r="P97" s="6">
        <v>43927</v>
      </c>
      <c r="Q97" s="5" t="s">
        <v>31</v>
      </c>
      <c r="R97" s="5" t="s">
        <v>32</v>
      </c>
      <c r="S97" s="5" t="s">
        <v>33</v>
      </c>
      <c r="T97" s="5"/>
      <c r="U97" s="7">
        <v>1350</v>
      </c>
      <c r="V97" s="5">
        <v>582.12</v>
      </c>
      <c r="W97" s="5">
        <v>537.57000000000005</v>
      </c>
      <c r="X97" s="5">
        <v>0</v>
      </c>
      <c r="Y97" s="5">
        <v>230.31</v>
      </c>
    </row>
    <row r="98" spans="1:25" ht="24.75" x14ac:dyDescent="0.25">
      <c r="A98" s="5" t="s">
        <v>26</v>
      </c>
      <c r="B98" s="5" t="s">
        <v>27</v>
      </c>
      <c r="C98" s="5" t="s">
        <v>47</v>
      </c>
      <c r="D98" s="5" t="s">
        <v>52</v>
      </c>
      <c r="E98" s="5" t="s">
        <v>28</v>
      </c>
      <c r="F98" s="5" t="s">
        <v>98</v>
      </c>
      <c r="G98" s="5">
        <v>2019</v>
      </c>
      <c r="H98" s="5" t="str">
        <f>CONCATENATE("94210910264")</f>
        <v>94210910264</v>
      </c>
      <c r="I98" s="5" t="s">
        <v>29</v>
      </c>
      <c r="J98" s="5" t="s">
        <v>36</v>
      </c>
      <c r="K98" s="5" t="str">
        <f>CONCATENATE("")</f>
        <v/>
      </c>
      <c r="L98" s="5" t="str">
        <f>CONCATENATE("13 13.1 4a")</f>
        <v>13 13.1 4a</v>
      </c>
      <c r="M98" s="5" t="str">
        <f>CONCATENATE("BRRGCR61R30Z130G")</f>
        <v>BRRGCR61R30Z130G</v>
      </c>
      <c r="N98" s="5" t="s">
        <v>175</v>
      </c>
      <c r="O98" s="5" t="s">
        <v>174</v>
      </c>
      <c r="P98" s="6">
        <v>43927</v>
      </c>
      <c r="Q98" s="5" t="s">
        <v>31</v>
      </c>
      <c r="R98" s="5" t="s">
        <v>32</v>
      </c>
      <c r="S98" s="5" t="s">
        <v>33</v>
      </c>
      <c r="T98" s="5"/>
      <c r="U98" s="7">
        <v>3222.3</v>
      </c>
      <c r="V98" s="7">
        <v>1389.46</v>
      </c>
      <c r="W98" s="7">
        <v>1283.1199999999999</v>
      </c>
      <c r="X98" s="5">
        <v>0</v>
      </c>
      <c r="Y98" s="5">
        <v>549.72</v>
      </c>
    </row>
    <row r="99" spans="1:25" x14ac:dyDescent="0.25">
      <c r="A99" s="5" t="s">
        <v>26</v>
      </c>
      <c r="B99" s="5" t="s">
        <v>27</v>
      </c>
      <c r="C99" s="5" t="s">
        <v>47</v>
      </c>
      <c r="D99" s="5" t="s">
        <v>164</v>
      </c>
      <c r="E99" s="5" t="s">
        <v>35</v>
      </c>
      <c r="F99" s="5" t="s">
        <v>176</v>
      </c>
      <c r="G99" s="5">
        <v>2019</v>
      </c>
      <c r="H99" s="5" t="str">
        <f>CONCATENATE("94780054097")</f>
        <v>94780054097</v>
      </c>
      <c r="I99" s="5" t="s">
        <v>29</v>
      </c>
      <c r="J99" s="5" t="s">
        <v>30</v>
      </c>
      <c r="K99" s="5" t="str">
        <f>CONCATENATE("221")</f>
        <v>221</v>
      </c>
      <c r="L99" s="5" t="str">
        <f>CONCATENATE("8 8.1 5e")</f>
        <v>8 8.1 5e</v>
      </c>
      <c r="M99" s="5" t="str">
        <f>CONCATENATE("NGLPLA58R12I156I")</f>
        <v>NGLPLA58R12I156I</v>
      </c>
      <c r="N99" s="5" t="s">
        <v>177</v>
      </c>
      <c r="O99" s="5" t="s">
        <v>178</v>
      </c>
      <c r="P99" s="6">
        <v>43929</v>
      </c>
      <c r="Q99" s="5" t="s">
        <v>31</v>
      </c>
      <c r="R99" s="5" t="s">
        <v>32</v>
      </c>
      <c r="S99" s="5" t="s">
        <v>33</v>
      </c>
      <c r="T99" s="5"/>
      <c r="U99" s="5">
        <v>119.46</v>
      </c>
      <c r="V99" s="5">
        <v>51.51</v>
      </c>
      <c r="W99" s="5">
        <v>47.57</v>
      </c>
      <c r="X99" s="5">
        <v>0</v>
      </c>
      <c r="Y99" s="5">
        <v>20.38</v>
      </c>
    </row>
    <row r="100" spans="1:25" ht="24.75" x14ac:dyDescent="0.25">
      <c r="A100" s="5" t="s">
        <v>26</v>
      </c>
      <c r="B100" s="5" t="s">
        <v>27</v>
      </c>
      <c r="C100" s="5" t="s">
        <v>47</v>
      </c>
      <c r="D100" s="5" t="s">
        <v>52</v>
      </c>
      <c r="E100" s="5" t="s">
        <v>35</v>
      </c>
      <c r="F100" s="5" t="s">
        <v>56</v>
      </c>
      <c r="G100" s="5">
        <v>2019</v>
      </c>
      <c r="H100" s="5" t="str">
        <f>CONCATENATE("94240882350")</f>
        <v>94240882350</v>
      </c>
      <c r="I100" s="5" t="s">
        <v>29</v>
      </c>
      <c r="J100" s="5" t="s">
        <v>36</v>
      </c>
      <c r="K100" s="5" t="str">
        <f>CONCATENATE("")</f>
        <v/>
      </c>
      <c r="L100" s="5" t="str">
        <f>CONCATENATE("11 11.1 4b")</f>
        <v>11 11.1 4b</v>
      </c>
      <c r="M100" s="5" t="str">
        <f>CONCATENATE("BCCMCL88C28D488X")</f>
        <v>BCCMCL88C28D488X</v>
      </c>
      <c r="N100" s="5" t="s">
        <v>179</v>
      </c>
      <c r="O100" s="5" t="s">
        <v>55</v>
      </c>
      <c r="P100" s="6">
        <v>43927</v>
      </c>
      <c r="Q100" s="5" t="s">
        <v>31</v>
      </c>
      <c r="R100" s="5" t="s">
        <v>32</v>
      </c>
      <c r="S100" s="5" t="s">
        <v>33</v>
      </c>
      <c r="T100" s="5"/>
      <c r="U100" s="7">
        <v>1896.72</v>
      </c>
      <c r="V100" s="5">
        <v>817.87</v>
      </c>
      <c r="W100" s="5">
        <v>755.27</v>
      </c>
      <c r="X100" s="5">
        <v>0</v>
      </c>
      <c r="Y100" s="5">
        <v>323.58</v>
      </c>
    </row>
    <row r="101" spans="1:25" ht="24.75" x14ac:dyDescent="0.25">
      <c r="A101" s="5" t="s">
        <v>26</v>
      </c>
      <c r="B101" s="5" t="s">
        <v>27</v>
      </c>
      <c r="C101" s="5" t="s">
        <v>47</v>
      </c>
      <c r="D101" s="5" t="s">
        <v>52</v>
      </c>
      <c r="E101" s="5" t="s">
        <v>42</v>
      </c>
      <c r="F101" s="5" t="s">
        <v>88</v>
      </c>
      <c r="G101" s="5">
        <v>2019</v>
      </c>
      <c r="H101" s="5" t="str">
        <f>CONCATENATE("94241118374")</f>
        <v>94241118374</v>
      </c>
      <c r="I101" s="5" t="s">
        <v>29</v>
      </c>
      <c r="J101" s="5" t="s">
        <v>36</v>
      </c>
      <c r="K101" s="5" t="str">
        <f>CONCATENATE("")</f>
        <v/>
      </c>
      <c r="L101" s="5" t="str">
        <f>CONCATENATE("11 11.2 4b")</f>
        <v>11 11.2 4b</v>
      </c>
      <c r="M101" s="5" t="str">
        <f>CONCATENATE("JNSSTP79E17Z105C")</f>
        <v>JNSSTP79E17Z105C</v>
      </c>
      <c r="N101" s="5" t="s">
        <v>180</v>
      </c>
      <c r="O101" s="5" t="s">
        <v>55</v>
      </c>
      <c r="P101" s="6">
        <v>43927</v>
      </c>
      <c r="Q101" s="5" t="s">
        <v>31</v>
      </c>
      <c r="R101" s="5" t="s">
        <v>32</v>
      </c>
      <c r="S101" s="5" t="s">
        <v>33</v>
      </c>
      <c r="T101" s="5"/>
      <c r="U101" s="5">
        <v>447.57</v>
      </c>
      <c r="V101" s="5">
        <v>192.99</v>
      </c>
      <c r="W101" s="5">
        <v>178.22</v>
      </c>
      <c r="X101" s="5">
        <v>0</v>
      </c>
      <c r="Y101" s="5">
        <v>76.36</v>
      </c>
    </row>
    <row r="102" spans="1:25" ht="24.75" x14ac:dyDescent="0.25">
      <c r="A102" s="5" t="s">
        <v>26</v>
      </c>
      <c r="B102" s="5" t="s">
        <v>27</v>
      </c>
      <c r="C102" s="5" t="s">
        <v>47</v>
      </c>
      <c r="D102" s="5" t="s">
        <v>52</v>
      </c>
      <c r="E102" s="5" t="s">
        <v>35</v>
      </c>
      <c r="F102" s="5" t="s">
        <v>91</v>
      </c>
      <c r="G102" s="5">
        <v>2019</v>
      </c>
      <c r="H102" s="5" t="str">
        <f>CONCATENATE("94240165699")</f>
        <v>94240165699</v>
      </c>
      <c r="I102" s="5" t="s">
        <v>29</v>
      </c>
      <c r="J102" s="5" t="s">
        <v>36</v>
      </c>
      <c r="K102" s="5" t="str">
        <f>CONCATENATE("")</f>
        <v/>
      </c>
      <c r="L102" s="5" t="str">
        <f>CONCATENATE("11 11.1 4b")</f>
        <v>11 11.1 4b</v>
      </c>
      <c r="M102" s="5" t="str">
        <f>CONCATENATE("02440980411")</f>
        <v>02440980411</v>
      </c>
      <c r="N102" s="5" t="s">
        <v>181</v>
      </c>
      <c r="O102" s="5" t="s">
        <v>55</v>
      </c>
      <c r="P102" s="6">
        <v>43927</v>
      </c>
      <c r="Q102" s="5" t="s">
        <v>31</v>
      </c>
      <c r="R102" s="5" t="s">
        <v>32</v>
      </c>
      <c r="S102" s="5" t="s">
        <v>33</v>
      </c>
      <c r="T102" s="5"/>
      <c r="U102" s="7">
        <v>1787.86</v>
      </c>
      <c r="V102" s="5">
        <v>770.93</v>
      </c>
      <c r="W102" s="5">
        <v>711.93</v>
      </c>
      <c r="X102" s="5">
        <v>0</v>
      </c>
      <c r="Y102" s="5">
        <v>305</v>
      </c>
    </row>
    <row r="103" spans="1:25" ht="24.75" x14ac:dyDescent="0.25">
      <c r="A103" s="5" t="s">
        <v>26</v>
      </c>
      <c r="B103" s="5" t="s">
        <v>27</v>
      </c>
      <c r="C103" s="5" t="s">
        <v>47</v>
      </c>
      <c r="D103" s="5" t="s">
        <v>48</v>
      </c>
      <c r="E103" s="5" t="s">
        <v>35</v>
      </c>
      <c r="F103" s="5" t="s">
        <v>154</v>
      </c>
      <c r="G103" s="5">
        <v>2019</v>
      </c>
      <c r="H103" s="5" t="str">
        <f>CONCATENATE("94240530710")</f>
        <v>94240530710</v>
      </c>
      <c r="I103" s="5" t="s">
        <v>29</v>
      </c>
      <c r="J103" s="5" t="s">
        <v>36</v>
      </c>
      <c r="K103" s="5" t="str">
        <f>CONCATENATE("")</f>
        <v/>
      </c>
      <c r="L103" s="5" t="str">
        <f>CONCATENATE("11 11.1 4b")</f>
        <v>11 11.1 4b</v>
      </c>
      <c r="M103" s="5" t="str">
        <f>CONCATENATE("CRBDNN53D02A366K")</f>
        <v>CRBDNN53D02A366K</v>
      </c>
      <c r="N103" s="5" t="s">
        <v>182</v>
      </c>
      <c r="O103" s="5" t="s">
        <v>55</v>
      </c>
      <c r="P103" s="6">
        <v>43927</v>
      </c>
      <c r="Q103" s="5" t="s">
        <v>31</v>
      </c>
      <c r="R103" s="5" t="s">
        <v>32</v>
      </c>
      <c r="S103" s="5" t="s">
        <v>33</v>
      </c>
      <c r="T103" s="5"/>
      <c r="U103" s="5">
        <v>468.37</v>
      </c>
      <c r="V103" s="5">
        <v>201.96</v>
      </c>
      <c r="W103" s="5">
        <v>186.5</v>
      </c>
      <c r="X103" s="5">
        <v>0</v>
      </c>
      <c r="Y103" s="5">
        <v>79.91</v>
      </c>
    </row>
    <row r="104" spans="1:25" ht="24.75" x14ac:dyDescent="0.25">
      <c r="A104" s="5" t="s">
        <v>26</v>
      </c>
      <c r="B104" s="5" t="s">
        <v>27</v>
      </c>
      <c r="C104" s="5" t="s">
        <v>47</v>
      </c>
      <c r="D104" s="5" t="s">
        <v>48</v>
      </c>
      <c r="E104" s="5" t="s">
        <v>35</v>
      </c>
      <c r="F104" s="5" t="s">
        <v>150</v>
      </c>
      <c r="G104" s="5">
        <v>2019</v>
      </c>
      <c r="H104" s="5" t="str">
        <f>CONCATENATE("94241697054")</f>
        <v>94241697054</v>
      </c>
      <c r="I104" s="5" t="s">
        <v>29</v>
      </c>
      <c r="J104" s="5" t="s">
        <v>36</v>
      </c>
      <c r="K104" s="5" t="str">
        <f>CONCATENATE("")</f>
        <v/>
      </c>
      <c r="L104" s="5" t="str">
        <f>CONCATENATE("11 11.1 4b")</f>
        <v>11 11.1 4b</v>
      </c>
      <c r="M104" s="5" t="str">
        <f>CONCATENATE("02635860428")</f>
        <v>02635860428</v>
      </c>
      <c r="N104" s="5" t="s">
        <v>183</v>
      </c>
      <c r="O104" s="5" t="s">
        <v>55</v>
      </c>
      <c r="P104" s="6">
        <v>43927</v>
      </c>
      <c r="Q104" s="5" t="s">
        <v>31</v>
      </c>
      <c r="R104" s="5" t="s">
        <v>32</v>
      </c>
      <c r="S104" s="5" t="s">
        <v>33</v>
      </c>
      <c r="T104" s="5"/>
      <c r="U104" s="7">
        <v>3859.34</v>
      </c>
      <c r="V104" s="7">
        <v>1664.15</v>
      </c>
      <c r="W104" s="7">
        <v>1536.79</v>
      </c>
      <c r="X104" s="5">
        <v>0</v>
      </c>
      <c r="Y104" s="5">
        <v>658.4</v>
      </c>
    </row>
    <row r="105" spans="1:25" ht="24.75" x14ac:dyDescent="0.25">
      <c r="A105" s="5" t="s">
        <v>26</v>
      </c>
      <c r="B105" s="5" t="s">
        <v>27</v>
      </c>
      <c r="C105" s="5" t="s">
        <v>47</v>
      </c>
      <c r="D105" s="5" t="s">
        <v>102</v>
      </c>
      <c r="E105" s="5" t="s">
        <v>39</v>
      </c>
      <c r="F105" s="5" t="s">
        <v>39</v>
      </c>
      <c r="G105" s="5">
        <v>2019</v>
      </c>
      <c r="H105" s="5" t="str">
        <f>CONCATENATE("94240069743")</f>
        <v>94240069743</v>
      </c>
      <c r="I105" s="5" t="s">
        <v>29</v>
      </c>
      <c r="J105" s="5" t="s">
        <v>36</v>
      </c>
      <c r="K105" s="5" t="str">
        <f>CONCATENATE("")</f>
        <v/>
      </c>
      <c r="L105" s="5" t="str">
        <f>CONCATENATE("11 11.2 4b")</f>
        <v>11 11.2 4b</v>
      </c>
      <c r="M105" s="5" t="str">
        <f>CONCATENATE("TRNFNC58S03G005I")</f>
        <v>TRNFNC58S03G005I</v>
      </c>
      <c r="N105" s="5" t="s">
        <v>184</v>
      </c>
      <c r="O105" s="5" t="s">
        <v>158</v>
      </c>
      <c r="P105" s="6">
        <v>43927</v>
      </c>
      <c r="Q105" s="5" t="s">
        <v>31</v>
      </c>
      <c r="R105" s="5" t="s">
        <v>32</v>
      </c>
      <c r="S105" s="5" t="s">
        <v>33</v>
      </c>
      <c r="T105" s="5"/>
      <c r="U105" s="7">
        <v>2260.6799999999998</v>
      </c>
      <c r="V105" s="5">
        <v>974.81</v>
      </c>
      <c r="W105" s="5">
        <v>900.2</v>
      </c>
      <c r="X105" s="5">
        <v>0</v>
      </c>
      <c r="Y105" s="5">
        <v>385.67</v>
      </c>
    </row>
    <row r="106" spans="1:25" ht="24.75" x14ac:dyDescent="0.25">
      <c r="A106" s="5" t="s">
        <v>26</v>
      </c>
      <c r="B106" s="5" t="s">
        <v>27</v>
      </c>
      <c r="C106" s="5" t="s">
        <v>47</v>
      </c>
      <c r="D106" s="5" t="s">
        <v>52</v>
      </c>
      <c r="E106" s="5" t="s">
        <v>39</v>
      </c>
      <c r="F106" s="5" t="s">
        <v>39</v>
      </c>
      <c r="G106" s="5">
        <v>2019</v>
      </c>
      <c r="H106" s="5" t="str">
        <f>CONCATENATE("94241011520")</f>
        <v>94241011520</v>
      </c>
      <c r="I106" s="5" t="s">
        <v>29</v>
      </c>
      <c r="J106" s="5" t="s">
        <v>36</v>
      </c>
      <c r="K106" s="5" t="str">
        <f>CONCATENATE("")</f>
        <v/>
      </c>
      <c r="L106" s="5" t="str">
        <f>CONCATENATE("11 11.2 4b")</f>
        <v>11 11.2 4b</v>
      </c>
      <c r="M106" s="5" t="str">
        <f>CONCATENATE("TBCNNL64B58G224Z")</f>
        <v>TBCNNL64B58G224Z</v>
      </c>
      <c r="N106" s="5" t="s">
        <v>185</v>
      </c>
      <c r="O106" s="5" t="s">
        <v>172</v>
      </c>
      <c r="P106" s="6">
        <v>43927</v>
      </c>
      <c r="Q106" s="5" t="s">
        <v>31</v>
      </c>
      <c r="R106" s="5" t="s">
        <v>32</v>
      </c>
      <c r="S106" s="5" t="s">
        <v>33</v>
      </c>
      <c r="T106" s="5"/>
      <c r="U106" s="7">
        <v>46057.29</v>
      </c>
      <c r="V106" s="7">
        <v>19859.900000000001</v>
      </c>
      <c r="W106" s="7">
        <v>18340.009999999998</v>
      </c>
      <c r="X106" s="5">
        <v>0</v>
      </c>
      <c r="Y106" s="7">
        <v>7857.38</v>
      </c>
    </row>
    <row r="107" spans="1:25" ht="24.75" x14ac:dyDescent="0.25">
      <c r="A107" s="5" t="s">
        <v>26</v>
      </c>
      <c r="B107" s="5" t="s">
        <v>27</v>
      </c>
      <c r="C107" s="5" t="s">
        <v>47</v>
      </c>
      <c r="D107" s="5" t="s">
        <v>48</v>
      </c>
      <c r="E107" s="5" t="s">
        <v>35</v>
      </c>
      <c r="F107" s="5" t="s">
        <v>85</v>
      </c>
      <c r="G107" s="5">
        <v>2019</v>
      </c>
      <c r="H107" s="5" t="str">
        <f>CONCATENATE("94240295173")</f>
        <v>94240295173</v>
      </c>
      <c r="I107" s="5" t="s">
        <v>29</v>
      </c>
      <c r="J107" s="5" t="s">
        <v>36</v>
      </c>
      <c r="K107" s="5" t="str">
        <f>CONCATENATE("")</f>
        <v/>
      </c>
      <c r="L107" s="5" t="str">
        <f>CONCATENATE("11 11.2 4b")</f>
        <v>11 11.2 4b</v>
      </c>
      <c r="M107" s="5" t="str">
        <f>CONCATENATE("GLMMRA73C43D451N")</f>
        <v>GLMMRA73C43D451N</v>
      </c>
      <c r="N107" s="5" t="s">
        <v>186</v>
      </c>
      <c r="O107" s="5" t="s">
        <v>55</v>
      </c>
      <c r="P107" s="6">
        <v>43927</v>
      </c>
      <c r="Q107" s="5" t="s">
        <v>31</v>
      </c>
      <c r="R107" s="5" t="s">
        <v>32</v>
      </c>
      <c r="S107" s="5" t="s">
        <v>33</v>
      </c>
      <c r="T107" s="5"/>
      <c r="U107" s="5">
        <v>198.51</v>
      </c>
      <c r="V107" s="5">
        <v>85.6</v>
      </c>
      <c r="W107" s="5">
        <v>79.05</v>
      </c>
      <c r="X107" s="5">
        <v>0</v>
      </c>
      <c r="Y107" s="5">
        <v>33.86</v>
      </c>
    </row>
    <row r="108" spans="1:25" ht="24.75" x14ac:dyDescent="0.25">
      <c r="A108" s="5" t="s">
        <v>26</v>
      </c>
      <c r="B108" s="5" t="s">
        <v>27</v>
      </c>
      <c r="C108" s="5" t="s">
        <v>47</v>
      </c>
      <c r="D108" s="5" t="s">
        <v>52</v>
      </c>
      <c r="E108" s="5" t="s">
        <v>28</v>
      </c>
      <c r="F108" s="5" t="s">
        <v>60</v>
      </c>
      <c r="G108" s="5">
        <v>2019</v>
      </c>
      <c r="H108" s="5" t="str">
        <f>CONCATENATE("94240408115")</f>
        <v>94240408115</v>
      </c>
      <c r="I108" s="5" t="s">
        <v>29</v>
      </c>
      <c r="J108" s="5" t="s">
        <v>36</v>
      </c>
      <c r="K108" s="5" t="str">
        <f>CONCATENATE("")</f>
        <v/>
      </c>
      <c r="L108" s="5" t="str">
        <f>CONCATENATE("11 11.1 4b")</f>
        <v>11 11.1 4b</v>
      </c>
      <c r="M108" s="5" t="str">
        <f>CONCATENATE("PRGLNA85D23A944K")</f>
        <v>PRGLNA85D23A944K</v>
      </c>
      <c r="N108" s="5" t="s">
        <v>187</v>
      </c>
      <c r="O108" s="5" t="s">
        <v>55</v>
      </c>
      <c r="P108" s="6">
        <v>43927</v>
      </c>
      <c r="Q108" s="5" t="s">
        <v>31</v>
      </c>
      <c r="R108" s="5" t="s">
        <v>32</v>
      </c>
      <c r="S108" s="5" t="s">
        <v>33</v>
      </c>
      <c r="T108" s="5"/>
      <c r="U108" s="5">
        <v>709.14</v>
      </c>
      <c r="V108" s="5">
        <v>305.77999999999997</v>
      </c>
      <c r="W108" s="5">
        <v>282.38</v>
      </c>
      <c r="X108" s="5">
        <v>0</v>
      </c>
      <c r="Y108" s="5">
        <v>120.98</v>
      </c>
    </row>
    <row r="109" spans="1:25" ht="24.75" x14ac:dyDescent="0.25">
      <c r="A109" s="5" t="s">
        <v>26</v>
      </c>
      <c r="B109" s="5" t="s">
        <v>27</v>
      </c>
      <c r="C109" s="5" t="s">
        <v>47</v>
      </c>
      <c r="D109" s="5" t="s">
        <v>48</v>
      </c>
      <c r="E109" s="5" t="s">
        <v>38</v>
      </c>
      <c r="F109" s="5" t="s">
        <v>58</v>
      </c>
      <c r="G109" s="5">
        <v>2019</v>
      </c>
      <c r="H109" s="5" t="str">
        <f>CONCATENATE("94240023450")</f>
        <v>94240023450</v>
      </c>
      <c r="I109" s="5" t="s">
        <v>29</v>
      </c>
      <c r="J109" s="5" t="s">
        <v>36</v>
      </c>
      <c r="K109" s="5" t="str">
        <f>CONCATENATE("")</f>
        <v/>
      </c>
      <c r="L109" s="5" t="str">
        <f>CONCATENATE("11 11.2 4b")</f>
        <v>11 11.2 4b</v>
      </c>
      <c r="M109" s="5" t="str">
        <f>CONCATENATE("GRGSFN70S12A271I")</f>
        <v>GRGSFN70S12A271I</v>
      </c>
      <c r="N109" s="5" t="s">
        <v>188</v>
      </c>
      <c r="O109" s="5" t="s">
        <v>55</v>
      </c>
      <c r="P109" s="6">
        <v>43927</v>
      </c>
      <c r="Q109" s="5" t="s">
        <v>31</v>
      </c>
      <c r="R109" s="5" t="s">
        <v>32</v>
      </c>
      <c r="S109" s="5" t="s">
        <v>33</v>
      </c>
      <c r="T109" s="5"/>
      <c r="U109" s="7">
        <v>1577.39</v>
      </c>
      <c r="V109" s="5">
        <v>680.17</v>
      </c>
      <c r="W109" s="5">
        <v>628.12</v>
      </c>
      <c r="X109" s="5">
        <v>0</v>
      </c>
      <c r="Y109" s="5">
        <v>269.10000000000002</v>
      </c>
    </row>
    <row r="110" spans="1:25" ht="24.75" x14ac:dyDescent="0.25">
      <c r="A110" s="5" t="s">
        <v>26</v>
      </c>
      <c r="B110" s="5" t="s">
        <v>27</v>
      </c>
      <c r="C110" s="5" t="s">
        <v>47</v>
      </c>
      <c r="D110" s="5" t="s">
        <v>102</v>
      </c>
      <c r="E110" s="5" t="s">
        <v>35</v>
      </c>
      <c r="F110" s="5" t="s">
        <v>112</v>
      </c>
      <c r="G110" s="5">
        <v>2019</v>
      </c>
      <c r="H110" s="5" t="str">
        <f>CONCATENATE("94240137615")</f>
        <v>94240137615</v>
      </c>
      <c r="I110" s="5" t="s">
        <v>29</v>
      </c>
      <c r="J110" s="5" t="s">
        <v>36</v>
      </c>
      <c r="K110" s="5" t="str">
        <f>CONCATENATE("")</f>
        <v/>
      </c>
      <c r="L110" s="5" t="str">
        <f>CONCATENATE("11 11.2 4b")</f>
        <v>11 11.2 4b</v>
      </c>
      <c r="M110" s="5" t="str">
        <f>CONCATENATE("LRAMRA57E22A437D")</f>
        <v>LRAMRA57E22A437D</v>
      </c>
      <c r="N110" s="5" t="s">
        <v>189</v>
      </c>
      <c r="O110" s="5" t="s">
        <v>55</v>
      </c>
      <c r="P110" s="6">
        <v>43927</v>
      </c>
      <c r="Q110" s="5" t="s">
        <v>31</v>
      </c>
      <c r="R110" s="5" t="s">
        <v>32</v>
      </c>
      <c r="S110" s="5" t="s">
        <v>33</v>
      </c>
      <c r="T110" s="5"/>
      <c r="U110" s="5">
        <v>589.46</v>
      </c>
      <c r="V110" s="5">
        <v>254.18</v>
      </c>
      <c r="W110" s="5">
        <v>234.72</v>
      </c>
      <c r="X110" s="5">
        <v>0</v>
      </c>
      <c r="Y110" s="5">
        <v>100.56</v>
      </c>
    </row>
    <row r="111" spans="1:25" ht="24.75" x14ac:dyDescent="0.25">
      <c r="A111" s="5" t="s">
        <v>26</v>
      </c>
      <c r="B111" s="5" t="s">
        <v>27</v>
      </c>
      <c r="C111" s="5" t="s">
        <v>47</v>
      </c>
      <c r="D111" s="5" t="s">
        <v>52</v>
      </c>
      <c r="E111" s="5" t="s">
        <v>35</v>
      </c>
      <c r="F111" s="5" t="s">
        <v>56</v>
      </c>
      <c r="G111" s="5">
        <v>2019</v>
      </c>
      <c r="H111" s="5" t="str">
        <f>CONCATENATE("94240075856")</f>
        <v>94240075856</v>
      </c>
      <c r="I111" s="5" t="s">
        <v>29</v>
      </c>
      <c r="J111" s="5" t="s">
        <v>36</v>
      </c>
      <c r="K111" s="5" t="str">
        <f>CONCATENATE("")</f>
        <v/>
      </c>
      <c r="L111" s="5" t="str">
        <f>CONCATENATE("11 11.1 4b")</f>
        <v>11 11.1 4b</v>
      </c>
      <c r="M111" s="5" t="str">
        <f>CONCATENATE("BCCRRT65S57F348K")</f>
        <v>BCCRRT65S57F348K</v>
      </c>
      <c r="N111" s="5" t="s">
        <v>190</v>
      </c>
      <c r="O111" s="5" t="s">
        <v>55</v>
      </c>
      <c r="P111" s="6">
        <v>43927</v>
      </c>
      <c r="Q111" s="5" t="s">
        <v>31</v>
      </c>
      <c r="R111" s="5" t="s">
        <v>32</v>
      </c>
      <c r="S111" s="5" t="s">
        <v>33</v>
      </c>
      <c r="T111" s="5"/>
      <c r="U111" s="7">
        <v>2501.15</v>
      </c>
      <c r="V111" s="7">
        <v>1078.5</v>
      </c>
      <c r="W111" s="5">
        <v>995.96</v>
      </c>
      <c r="X111" s="5">
        <v>0</v>
      </c>
      <c r="Y111" s="5">
        <v>426.69</v>
      </c>
    </row>
    <row r="112" spans="1:25" ht="24.75" x14ac:dyDescent="0.25">
      <c r="A112" s="5" t="s">
        <v>26</v>
      </c>
      <c r="B112" s="5" t="s">
        <v>27</v>
      </c>
      <c r="C112" s="5" t="s">
        <v>47</v>
      </c>
      <c r="D112" s="5" t="s">
        <v>48</v>
      </c>
      <c r="E112" s="5" t="s">
        <v>28</v>
      </c>
      <c r="F112" s="5" t="s">
        <v>75</v>
      </c>
      <c r="G112" s="5">
        <v>2019</v>
      </c>
      <c r="H112" s="5" t="str">
        <f>CONCATENATE("94240946098")</f>
        <v>94240946098</v>
      </c>
      <c r="I112" s="5" t="s">
        <v>29</v>
      </c>
      <c r="J112" s="5" t="s">
        <v>36</v>
      </c>
      <c r="K112" s="5" t="str">
        <f>CONCATENATE("")</f>
        <v/>
      </c>
      <c r="L112" s="5" t="str">
        <f>CONCATENATE("11 11.2 4b")</f>
        <v>11 11.2 4b</v>
      </c>
      <c r="M112" s="5" t="str">
        <f>CONCATENATE("00283690428")</f>
        <v>00283690428</v>
      </c>
      <c r="N112" s="5" t="s">
        <v>191</v>
      </c>
      <c r="O112" s="5" t="s">
        <v>55</v>
      </c>
      <c r="P112" s="6">
        <v>43927</v>
      </c>
      <c r="Q112" s="5" t="s">
        <v>31</v>
      </c>
      <c r="R112" s="5" t="s">
        <v>32</v>
      </c>
      <c r="S112" s="5" t="s">
        <v>33</v>
      </c>
      <c r="T112" s="5"/>
      <c r="U112" s="5">
        <v>608.88</v>
      </c>
      <c r="V112" s="5">
        <v>262.55</v>
      </c>
      <c r="W112" s="5">
        <v>242.46</v>
      </c>
      <c r="X112" s="5">
        <v>0</v>
      </c>
      <c r="Y112" s="5">
        <v>103.87</v>
      </c>
    </row>
    <row r="113" spans="1:25" ht="24.75" x14ac:dyDescent="0.25">
      <c r="A113" s="5" t="s">
        <v>26</v>
      </c>
      <c r="B113" s="5" t="s">
        <v>27</v>
      </c>
      <c r="C113" s="5" t="s">
        <v>47</v>
      </c>
      <c r="D113" s="5" t="s">
        <v>102</v>
      </c>
      <c r="E113" s="5" t="s">
        <v>35</v>
      </c>
      <c r="F113" s="5" t="s">
        <v>192</v>
      </c>
      <c r="G113" s="5">
        <v>2019</v>
      </c>
      <c r="H113" s="5" t="str">
        <f>CONCATENATE("94240895782")</f>
        <v>94240895782</v>
      </c>
      <c r="I113" s="5" t="s">
        <v>29</v>
      </c>
      <c r="J113" s="5" t="s">
        <v>36</v>
      </c>
      <c r="K113" s="5" t="str">
        <f>CONCATENATE("")</f>
        <v/>
      </c>
      <c r="L113" s="5" t="str">
        <f>CONCATENATE("11 11.2 4b")</f>
        <v>11 11.2 4b</v>
      </c>
      <c r="M113" s="5" t="str">
        <f>CONCATENATE("02367360449")</f>
        <v>02367360449</v>
      </c>
      <c r="N113" s="5" t="s">
        <v>193</v>
      </c>
      <c r="O113" s="5" t="s">
        <v>158</v>
      </c>
      <c r="P113" s="6">
        <v>43927</v>
      </c>
      <c r="Q113" s="5" t="s">
        <v>31</v>
      </c>
      <c r="R113" s="5" t="s">
        <v>32</v>
      </c>
      <c r="S113" s="5" t="s">
        <v>33</v>
      </c>
      <c r="T113" s="5"/>
      <c r="U113" s="5">
        <v>622.32000000000005</v>
      </c>
      <c r="V113" s="5">
        <v>268.33999999999997</v>
      </c>
      <c r="W113" s="5">
        <v>247.81</v>
      </c>
      <c r="X113" s="5">
        <v>0</v>
      </c>
      <c r="Y113" s="5">
        <v>106.17</v>
      </c>
    </row>
    <row r="114" spans="1:25" ht="24.75" x14ac:dyDescent="0.25">
      <c r="A114" s="5" t="s">
        <v>26</v>
      </c>
      <c r="B114" s="5" t="s">
        <v>27</v>
      </c>
      <c r="C114" s="5" t="s">
        <v>47</v>
      </c>
      <c r="D114" s="5" t="s">
        <v>52</v>
      </c>
      <c r="E114" s="5" t="s">
        <v>35</v>
      </c>
      <c r="F114" s="5" t="s">
        <v>56</v>
      </c>
      <c r="G114" s="5">
        <v>2019</v>
      </c>
      <c r="H114" s="5" t="str">
        <f>CONCATENATE("94240859945")</f>
        <v>94240859945</v>
      </c>
      <c r="I114" s="5" t="s">
        <v>29</v>
      </c>
      <c r="J114" s="5" t="s">
        <v>36</v>
      </c>
      <c r="K114" s="5" t="str">
        <f>CONCATENATE("")</f>
        <v/>
      </c>
      <c r="L114" s="5" t="str">
        <f>CONCATENATE("11 11.2 4b")</f>
        <v>11 11.2 4b</v>
      </c>
      <c r="M114" s="5" t="str">
        <f>CONCATENATE("02577080415")</f>
        <v>02577080415</v>
      </c>
      <c r="N114" s="5" t="s">
        <v>194</v>
      </c>
      <c r="O114" s="5" t="s">
        <v>55</v>
      </c>
      <c r="P114" s="6">
        <v>43927</v>
      </c>
      <c r="Q114" s="5" t="s">
        <v>31</v>
      </c>
      <c r="R114" s="5" t="s">
        <v>32</v>
      </c>
      <c r="S114" s="5" t="s">
        <v>33</v>
      </c>
      <c r="T114" s="5"/>
      <c r="U114" s="5">
        <v>951.83</v>
      </c>
      <c r="V114" s="5">
        <v>410.43</v>
      </c>
      <c r="W114" s="5">
        <v>379.02</v>
      </c>
      <c r="X114" s="5">
        <v>0</v>
      </c>
      <c r="Y114" s="5">
        <v>162.38</v>
      </c>
    </row>
    <row r="115" spans="1:25" ht="24.75" x14ac:dyDescent="0.25">
      <c r="A115" s="5" t="s">
        <v>26</v>
      </c>
      <c r="B115" s="5" t="s">
        <v>27</v>
      </c>
      <c r="C115" s="5" t="s">
        <v>47</v>
      </c>
      <c r="D115" s="5" t="s">
        <v>102</v>
      </c>
      <c r="E115" s="5" t="s">
        <v>35</v>
      </c>
      <c r="F115" s="5" t="s">
        <v>195</v>
      </c>
      <c r="G115" s="5">
        <v>2018</v>
      </c>
      <c r="H115" s="5" t="str">
        <f>CONCATENATE("84241056468")</f>
        <v>84241056468</v>
      </c>
      <c r="I115" s="5" t="s">
        <v>29</v>
      </c>
      <c r="J115" s="5" t="s">
        <v>36</v>
      </c>
      <c r="K115" s="5" t="str">
        <f>CONCATENATE("")</f>
        <v/>
      </c>
      <c r="L115" s="5" t="str">
        <f>CONCATENATE("11 11.1 4b")</f>
        <v>11 11.1 4b</v>
      </c>
      <c r="M115" s="5" t="str">
        <f>CONCATENATE("LLMDNL83D46H769K")</f>
        <v>LLMDNL83D46H769K</v>
      </c>
      <c r="N115" s="5" t="s">
        <v>196</v>
      </c>
      <c r="O115" s="5" t="s">
        <v>158</v>
      </c>
      <c r="P115" s="6">
        <v>43927</v>
      </c>
      <c r="Q115" s="5" t="s">
        <v>31</v>
      </c>
      <c r="R115" s="5" t="s">
        <v>32</v>
      </c>
      <c r="S115" s="5" t="s">
        <v>33</v>
      </c>
      <c r="T115" s="5"/>
      <c r="U115" s="7">
        <v>1811.26</v>
      </c>
      <c r="V115" s="5">
        <v>781.02</v>
      </c>
      <c r="W115" s="5">
        <v>721.24</v>
      </c>
      <c r="X115" s="5">
        <v>0</v>
      </c>
      <c r="Y115" s="5">
        <v>309</v>
      </c>
    </row>
    <row r="116" spans="1:25" ht="24.75" x14ac:dyDescent="0.25">
      <c r="A116" s="5" t="s">
        <v>26</v>
      </c>
      <c r="B116" s="5" t="s">
        <v>27</v>
      </c>
      <c r="C116" s="5" t="s">
        <v>47</v>
      </c>
      <c r="D116" s="5" t="s">
        <v>102</v>
      </c>
      <c r="E116" s="5" t="s">
        <v>35</v>
      </c>
      <c r="F116" s="5" t="s">
        <v>197</v>
      </c>
      <c r="G116" s="5">
        <v>2019</v>
      </c>
      <c r="H116" s="5" t="str">
        <f>CONCATENATE("94240773328")</f>
        <v>94240773328</v>
      </c>
      <c r="I116" s="5" t="s">
        <v>29</v>
      </c>
      <c r="J116" s="5" t="s">
        <v>36</v>
      </c>
      <c r="K116" s="5" t="str">
        <f>CONCATENATE("")</f>
        <v/>
      </c>
      <c r="L116" s="5" t="str">
        <f>CONCATENATE("11 11.2 4b")</f>
        <v>11 11.2 4b</v>
      </c>
      <c r="M116" s="5" t="str">
        <f>CONCATENATE("02364240446")</f>
        <v>02364240446</v>
      </c>
      <c r="N116" s="5" t="s">
        <v>198</v>
      </c>
      <c r="O116" s="5" t="s">
        <v>158</v>
      </c>
      <c r="P116" s="6">
        <v>43927</v>
      </c>
      <c r="Q116" s="5" t="s">
        <v>31</v>
      </c>
      <c r="R116" s="5" t="s">
        <v>32</v>
      </c>
      <c r="S116" s="5" t="s">
        <v>33</v>
      </c>
      <c r="T116" s="5"/>
      <c r="U116" s="7">
        <v>1223.53</v>
      </c>
      <c r="V116" s="5">
        <v>527.59</v>
      </c>
      <c r="W116" s="5">
        <v>487.21</v>
      </c>
      <c r="X116" s="5">
        <v>0</v>
      </c>
      <c r="Y116" s="5">
        <v>208.73</v>
      </c>
    </row>
    <row r="117" spans="1:25" ht="24.75" x14ac:dyDescent="0.25">
      <c r="A117" s="5" t="s">
        <v>26</v>
      </c>
      <c r="B117" s="5" t="s">
        <v>27</v>
      </c>
      <c r="C117" s="5" t="s">
        <v>47</v>
      </c>
      <c r="D117" s="5" t="s">
        <v>102</v>
      </c>
      <c r="E117" s="5" t="s">
        <v>42</v>
      </c>
      <c r="F117" s="5" t="s">
        <v>199</v>
      </c>
      <c r="G117" s="5">
        <v>2019</v>
      </c>
      <c r="H117" s="5" t="str">
        <f>CONCATENATE("94241046823")</f>
        <v>94241046823</v>
      </c>
      <c r="I117" s="5" t="s">
        <v>29</v>
      </c>
      <c r="J117" s="5" t="s">
        <v>36</v>
      </c>
      <c r="K117" s="5" t="str">
        <f>CONCATENATE("")</f>
        <v/>
      </c>
      <c r="L117" s="5" t="str">
        <f>CONCATENATE("11 11.2 4b")</f>
        <v>11 11.2 4b</v>
      </c>
      <c r="M117" s="5" t="str">
        <f>CONCATENATE("CCCTRS54B53F268R")</f>
        <v>CCCTRS54B53F268R</v>
      </c>
      <c r="N117" s="5" t="s">
        <v>200</v>
      </c>
      <c r="O117" s="5" t="s">
        <v>158</v>
      </c>
      <c r="P117" s="6">
        <v>43927</v>
      </c>
      <c r="Q117" s="5" t="s">
        <v>31</v>
      </c>
      <c r="R117" s="5" t="s">
        <v>32</v>
      </c>
      <c r="S117" s="5" t="s">
        <v>33</v>
      </c>
      <c r="T117" s="5"/>
      <c r="U117" s="7">
        <v>5196.47</v>
      </c>
      <c r="V117" s="7">
        <v>2240.7199999999998</v>
      </c>
      <c r="W117" s="7">
        <v>2069.23</v>
      </c>
      <c r="X117" s="5">
        <v>0</v>
      </c>
      <c r="Y117" s="5">
        <v>886.52</v>
      </c>
    </row>
    <row r="118" spans="1:25" ht="24.75" x14ac:dyDescent="0.25">
      <c r="A118" s="5" t="s">
        <v>26</v>
      </c>
      <c r="B118" s="5" t="s">
        <v>27</v>
      </c>
      <c r="C118" s="5" t="s">
        <v>47</v>
      </c>
      <c r="D118" s="5" t="s">
        <v>102</v>
      </c>
      <c r="E118" s="5" t="s">
        <v>45</v>
      </c>
      <c r="F118" s="5" t="s">
        <v>201</v>
      </c>
      <c r="G118" s="5">
        <v>2018</v>
      </c>
      <c r="H118" s="5" t="str">
        <f>CONCATENATE("84240426266")</f>
        <v>84240426266</v>
      </c>
      <c r="I118" s="5" t="s">
        <v>29</v>
      </c>
      <c r="J118" s="5" t="s">
        <v>36</v>
      </c>
      <c r="K118" s="5" t="str">
        <f>CONCATENATE("")</f>
        <v/>
      </c>
      <c r="L118" s="5" t="str">
        <f>CONCATENATE("11 11.2 4b")</f>
        <v>11 11.2 4b</v>
      </c>
      <c r="M118" s="5" t="str">
        <f>CONCATENATE("PGGDNT43M20G005P")</f>
        <v>PGGDNT43M20G005P</v>
      </c>
      <c r="N118" s="5" t="s">
        <v>202</v>
      </c>
      <c r="O118" s="5" t="s">
        <v>158</v>
      </c>
      <c r="P118" s="6">
        <v>43927</v>
      </c>
      <c r="Q118" s="5" t="s">
        <v>31</v>
      </c>
      <c r="R118" s="5" t="s">
        <v>32</v>
      </c>
      <c r="S118" s="5" t="s">
        <v>33</v>
      </c>
      <c r="T118" s="5"/>
      <c r="U118" s="7">
        <v>1854.46</v>
      </c>
      <c r="V118" s="5">
        <v>799.64</v>
      </c>
      <c r="W118" s="5">
        <v>738.45</v>
      </c>
      <c r="X118" s="5">
        <v>0</v>
      </c>
      <c r="Y118" s="5">
        <v>316.37</v>
      </c>
    </row>
    <row r="119" spans="1:25" ht="24.75" x14ac:dyDescent="0.25">
      <c r="A119" s="5" t="s">
        <v>26</v>
      </c>
      <c r="B119" s="5" t="s">
        <v>27</v>
      </c>
      <c r="C119" s="5" t="s">
        <v>47</v>
      </c>
      <c r="D119" s="5" t="s">
        <v>102</v>
      </c>
      <c r="E119" s="5" t="s">
        <v>45</v>
      </c>
      <c r="F119" s="5" t="s">
        <v>201</v>
      </c>
      <c r="G119" s="5">
        <v>2019</v>
      </c>
      <c r="H119" s="5" t="str">
        <f>CONCATENATE("94240007750")</f>
        <v>94240007750</v>
      </c>
      <c r="I119" s="5" t="s">
        <v>29</v>
      </c>
      <c r="J119" s="5" t="s">
        <v>36</v>
      </c>
      <c r="K119" s="5" t="str">
        <f>CONCATENATE("")</f>
        <v/>
      </c>
      <c r="L119" s="5" t="str">
        <f>CONCATENATE("11 11.2 4b")</f>
        <v>11 11.2 4b</v>
      </c>
      <c r="M119" s="5" t="str">
        <f>CONCATENATE("PGGDNT43M20G005P")</f>
        <v>PGGDNT43M20G005P</v>
      </c>
      <c r="N119" s="5" t="s">
        <v>202</v>
      </c>
      <c r="O119" s="5" t="s">
        <v>158</v>
      </c>
      <c r="P119" s="6">
        <v>43927</v>
      </c>
      <c r="Q119" s="5" t="s">
        <v>31</v>
      </c>
      <c r="R119" s="5" t="s">
        <v>32</v>
      </c>
      <c r="S119" s="5" t="s">
        <v>33</v>
      </c>
      <c r="T119" s="5"/>
      <c r="U119" s="7">
        <v>1360.68</v>
      </c>
      <c r="V119" s="5">
        <v>586.73</v>
      </c>
      <c r="W119" s="5">
        <v>541.82000000000005</v>
      </c>
      <c r="X119" s="5">
        <v>0</v>
      </c>
      <c r="Y119" s="5">
        <v>232.13</v>
      </c>
    </row>
    <row r="120" spans="1:25" ht="24.75" x14ac:dyDescent="0.25">
      <c r="A120" s="5" t="s">
        <v>26</v>
      </c>
      <c r="B120" s="5" t="s">
        <v>27</v>
      </c>
      <c r="C120" s="5" t="s">
        <v>47</v>
      </c>
      <c r="D120" s="5" t="s">
        <v>102</v>
      </c>
      <c r="E120" s="5" t="s">
        <v>39</v>
      </c>
      <c r="F120" s="5" t="s">
        <v>39</v>
      </c>
      <c r="G120" s="5">
        <v>2019</v>
      </c>
      <c r="H120" s="5" t="str">
        <f>CONCATENATE("94240784481")</f>
        <v>94240784481</v>
      </c>
      <c r="I120" s="5" t="s">
        <v>29</v>
      </c>
      <c r="J120" s="5" t="s">
        <v>36</v>
      </c>
      <c r="K120" s="5" t="str">
        <f>CONCATENATE("")</f>
        <v/>
      </c>
      <c r="L120" s="5" t="str">
        <f>CONCATENATE("11 11.2 4b")</f>
        <v>11 11.2 4b</v>
      </c>
      <c r="M120" s="5" t="str">
        <f>CONCATENATE("04629080260")</f>
        <v>04629080260</v>
      </c>
      <c r="N120" s="5" t="s">
        <v>203</v>
      </c>
      <c r="O120" s="5" t="s">
        <v>158</v>
      </c>
      <c r="P120" s="6">
        <v>43927</v>
      </c>
      <c r="Q120" s="5" t="s">
        <v>31</v>
      </c>
      <c r="R120" s="5" t="s">
        <v>32</v>
      </c>
      <c r="S120" s="5" t="s">
        <v>33</v>
      </c>
      <c r="T120" s="5"/>
      <c r="U120" s="5">
        <v>918.32</v>
      </c>
      <c r="V120" s="5">
        <v>395.98</v>
      </c>
      <c r="W120" s="5">
        <v>365.68</v>
      </c>
      <c r="X120" s="5">
        <v>0</v>
      </c>
      <c r="Y120" s="5">
        <v>156.66</v>
      </c>
    </row>
    <row r="121" spans="1:25" ht="24.75" x14ac:dyDescent="0.25">
      <c r="A121" s="5" t="s">
        <v>26</v>
      </c>
      <c r="B121" s="5" t="s">
        <v>27</v>
      </c>
      <c r="C121" s="5" t="s">
        <v>47</v>
      </c>
      <c r="D121" s="5" t="s">
        <v>102</v>
      </c>
      <c r="E121" s="5" t="s">
        <v>35</v>
      </c>
      <c r="F121" s="5" t="s">
        <v>195</v>
      </c>
      <c r="G121" s="5">
        <v>2019</v>
      </c>
      <c r="H121" s="5" t="str">
        <f>CONCATENATE("94241172231")</f>
        <v>94241172231</v>
      </c>
      <c r="I121" s="5" t="s">
        <v>29</v>
      </c>
      <c r="J121" s="5" t="s">
        <v>36</v>
      </c>
      <c r="K121" s="5" t="str">
        <f>CONCATENATE("")</f>
        <v/>
      </c>
      <c r="L121" s="5" t="str">
        <f>CONCATENATE("11 11.2 4b")</f>
        <v>11 11.2 4b</v>
      </c>
      <c r="M121" s="5" t="str">
        <f>CONCATENATE("02366360440")</f>
        <v>02366360440</v>
      </c>
      <c r="N121" s="5" t="s">
        <v>204</v>
      </c>
      <c r="O121" s="5" t="s">
        <v>158</v>
      </c>
      <c r="P121" s="6">
        <v>43927</v>
      </c>
      <c r="Q121" s="5" t="s">
        <v>31</v>
      </c>
      <c r="R121" s="5" t="s">
        <v>32</v>
      </c>
      <c r="S121" s="5" t="s">
        <v>33</v>
      </c>
      <c r="T121" s="5"/>
      <c r="U121" s="7">
        <v>6056.96</v>
      </c>
      <c r="V121" s="7">
        <v>2611.7600000000002</v>
      </c>
      <c r="W121" s="7">
        <v>2411.88</v>
      </c>
      <c r="X121" s="5">
        <v>0</v>
      </c>
      <c r="Y121" s="7">
        <v>1033.32</v>
      </c>
    </row>
    <row r="122" spans="1:25" ht="24.75" x14ac:dyDescent="0.25">
      <c r="A122" s="5" t="s">
        <v>26</v>
      </c>
      <c r="B122" s="5" t="s">
        <v>27</v>
      </c>
      <c r="C122" s="5" t="s">
        <v>47</v>
      </c>
      <c r="D122" s="5" t="s">
        <v>102</v>
      </c>
      <c r="E122" s="5" t="s">
        <v>35</v>
      </c>
      <c r="F122" s="5" t="s">
        <v>205</v>
      </c>
      <c r="G122" s="5">
        <v>2019</v>
      </c>
      <c r="H122" s="5" t="str">
        <f>CONCATENATE("94240874811")</f>
        <v>94240874811</v>
      </c>
      <c r="I122" s="5" t="s">
        <v>29</v>
      </c>
      <c r="J122" s="5" t="s">
        <v>36</v>
      </c>
      <c r="K122" s="5" t="str">
        <f>CONCATENATE("")</f>
        <v/>
      </c>
      <c r="L122" s="5" t="str">
        <f>CONCATENATE("11 11.2 4b")</f>
        <v>11 11.2 4b</v>
      </c>
      <c r="M122" s="5" t="str">
        <f>CONCATENATE("NRERRT88M03H769L")</f>
        <v>NRERRT88M03H769L</v>
      </c>
      <c r="N122" s="5" t="s">
        <v>206</v>
      </c>
      <c r="O122" s="5" t="s">
        <v>158</v>
      </c>
      <c r="P122" s="6">
        <v>43927</v>
      </c>
      <c r="Q122" s="5" t="s">
        <v>31</v>
      </c>
      <c r="R122" s="5" t="s">
        <v>32</v>
      </c>
      <c r="S122" s="5" t="s">
        <v>33</v>
      </c>
      <c r="T122" s="5"/>
      <c r="U122" s="7">
        <v>1691.59</v>
      </c>
      <c r="V122" s="5">
        <v>729.41</v>
      </c>
      <c r="W122" s="5">
        <v>673.59</v>
      </c>
      <c r="X122" s="5">
        <v>0</v>
      </c>
      <c r="Y122" s="5">
        <v>288.58999999999997</v>
      </c>
    </row>
    <row r="123" spans="1:25" ht="24.75" x14ac:dyDescent="0.25">
      <c r="A123" s="5" t="s">
        <v>26</v>
      </c>
      <c r="B123" s="5" t="s">
        <v>27</v>
      </c>
      <c r="C123" s="5" t="s">
        <v>47</v>
      </c>
      <c r="D123" s="5" t="s">
        <v>102</v>
      </c>
      <c r="E123" s="5" t="s">
        <v>35</v>
      </c>
      <c r="F123" s="5" t="s">
        <v>103</v>
      </c>
      <c r="G123" s="5">
        <v>2019</v>
      </c>
      <c r="H123" s="5" t="str">
        <f>CONCATENATE("94240972706")</f>
        <v>94240972706</v>
      </c>
      <c r="I123" s="5" t="s">
        <v>29</v>
      </c>
      <c r="J123" s="5" t="s">
        <v>36</v>
      </c>
      <c r="K123" s="5" t="str">
        <f>CONCATENATE("")</f>
        <v/>
      </c>
      <c r="L123" s="5" t="str">
        <f>CONCATENATE("11 11.2 4b")</f>
        <v>11 11.2 4b</v>
      </c>
      <c r="M123" s="5" t="str">
        <f>CONCATENATE("01186180442")</f>
        <v>01186180442</v>
      </c>
      <c r="N123" s="5" t="s">
        <v>207</v>
      </c>
      <c r="O123" s="5" t="s">
        <v>158</v>
      </c>
      <c r="P123" s="6">
        <v>43927</v>
      </c>
      <c r="Q123" s="5" t="s">
        <v>31</v>
      </c>
      <c r="R123" s="5" t="s">
        <v>32</v>
      </c>
      <c r="S123" s="5" t="s">
        <v>33</v>
      </c>
      <c r="T123" s="5"/>
      <c r="U123" s="7">
        <v>4543.79</v>
      </c>
      <c r="V123" s="7">
        <v>1959.28</v>
      </c>
      <c r="W123" s="7">
        <v>1809.34</v>
      </c>
      <c r="X123" s="5">
        <v>0</v>
      </c>
      <c r="Y123" s="5">
        <v>775.17</v>
      </c>
    </row>
    <row r="124" spans="1:25" ht="24.75" x14ac:dyDescent="0.25">
      <c r="A124" s="5" t="s">
        <v>26</v>
      </c>
      <c r="B124" s="5" t="s">
        <v>27</v>
      </c>
      <c r="C124" s="5" t="s">
        <v>47</v>
      </c>
      <c r="D124" s="5" t="s">
        <v>102</v>
      </c>
      <c r="E124" s="5" t="s">
        <v>28</v>
      </c>
      <c r="F124" s="5" t="s">
        <v>159</v>
      </c>
      <c r="G124" s="5">
        <v>2019</v>
      </c>
      <c r="H124" s="5" t="str">
        <f>CONCATENATE("94240733835")</f>
        <v>94240733835</v>
      </c>
      <c r="I124" s="5" t="s">
        <v>29</v>
      </c>
      <c r="J124" s="5" t="s">
        <v>36</v>
      </c>
      <c r="K124" s="5" t="str">
        <f>CONCATENATE("")</f>
        <v/>
      </c>
      <c r="L124" s="5" t="str">
        <f>CONCATENATE("11 11.2 4b")</f>
        <v>11 11.2 4b</v>
      </c>
      <c r="M124" s="5" t="str">
        <f>CONCATENATE("GRGGNN57H70A271N")</f>
        <v>GRGGNN57H70A271N</v>
      </c>
      <c r="N124" s="5" t="s">
        <v>208</v>
      </c>
      <c r="O124" s="5" t="s">
        <v>158</v>
      </c>
      <c r="P124" s="6">
        <v>43927</v>
      </c>
      <c r="Q124" s="5" t="s">
        <v>31</v>
      </c>
      <c r="R124" s="5" t="s">
        <v>32</v>
      </c>
      <c r="S124" s="5" t="s">
        <v>33</v>
      </c>
      <c r="T124" s="5"/>
      <c r="U124" s="7">
        <v>1165.68</v>
      </c>
      <c r="V124" s="5">
        <v>502.64</v>
      </c>
      <c r="W124" s="5">
        <v>464.17</v>
      </c>
      <c r="X124" s="5">
        <v>0</v>
      </c>
      <c r="Y124" s="5">
        <v>198.87</v>
      </c>
    </row>
    <row r="125" spans="1:25" ht="24.75" x14ac:dyDescent="0.25">
      <c r="A125" s="5" t="s">
        <v>26</v>
      </c>
      <c r="B125" s="5" t="s">
        <v>27</v>
      </c>
      <c r="C125" s="5" t="s">
        <v>47</v>
      </c>
      <c r="D125" s="5" t="s">
        <v>102</v>
      </c>
      <c r="E125" s="5" t="s">
        <v>39</v>
      </c>
      <c r="F125" s="5" t="s">
        <v>39</v>
      </c>
      <c r="G125" s="5">
        <v>2019</v>
      </c>
      <c r="H125" s="5" t="str">
        <f>CONCATENATE("94241042491")</f>
        <v>94241042491</v>
      </c>
      <c r="I125" s="5" t="s">
        <v>29</v>
      </c>
      <c r="J125" s="5" t="s">
        <v>36</v>
      </c>
      <c r="K125" s="5" t="str">
        <f>CONCATENATE("")</f>
        <v/>
      </c>
      <c r="L125" s="5" t="str">
        <f>CONCATENATE("11 11.2 4b")</f>
        <v>11 11.2 4b</v>
      </c>
      <c r="M125" s="5" t="str">
        <f>CONCATENATE("01875750448")</f>
        <v>01875750448</v>
      </c>
      <c r="N125" s="5" t="s">
        <v>209</v>
      </c>
      <c r="O125" s="5" t="s">
        <v>158</v>
      </c>
      <c r="P125" s="6">
        <v>43927</v>
      </c>
      <c r="Q125" s="5" t="s">
        <v>31</v>
      </c>
      <c r="R125" s="5" t="s">
        <v>32</v>
      </c>
      <c r="S125" s="5" t="s">
        <v>33</v>
      </c>
      <c r="T125" s="5"/>
      <c r="U125" s="5">
        <v>451.28</v>
      </c>
      <c r="V125" s="5">
        <v>194.59</v>
      </c>
      <c r="W125" s="5">
        <v>179.7</v>
      </c>
      <c r="X125" s="5">
        <v>0</v>
      </c>
      <c r="Y125" s="5">
        <v>76.989999999999995</v>
      </c>
    </row>
    <row r="126" spans="1:25" ht="24.75" x14ac:dyDescent="0.25">
      <c r="A126" s="5" t="s">
        <v>26</v>
      </c>
      <c r="B126" s="5" t="s">
        <v>27</v>
      </c>
      <c r="C126" s="5" t="s">
        <v>47</v>
      </c>
      <c r="D126" s="5" t="s">
        <v>102</v>
      </c>
      <c r="E126" s="5" t="s">
        <v>39</v>
      </c>
      <c r="F126" s="5" t="s">
        <v>39</v>
      </c>
      <c r="G126" s="5">
        <v>2019</v>
      </c>
      <c r="H126" s="5" t="str">
        <f>CONCATENATE("94241031650")</f>
        <v>94241031650</v>
      </c>
      <c r="I126" s="5" t="s">
        <v>29</v>
      </c>
      <c r="J126" s="5" t="s">
        <v>36</v>
      </c>
      <c r="K126" s="5" t="str">
        <f>CONCATENATE("")</f>
        <v/>
      </c>
      <c r="L126" s="5" t="str">
        <f>CONCATENATE("11 11.2 4b")</f>
        <v>11 11.2 4b</v>
      </c>
      <c r="M126" s="5" t="str">
        <f>CONCATENATE("VGNMRA46E23H321B")</f>
        <v>VGNMRA46E23H321B</v>
      </c>
      <c r="N126" s="5" t="s">
        <v>210</v>
      </c>
      <c r="O126" s="5" t="s">
        <v>158</v>
      </c>
      <c r="P126" s="6">
        <v>43927</v>
      </c>
      <c r="Q126" s="5" t="s">
        <v>31</v>
      </c>
      <c r="R126" s="5" t="s">
        <v>32</v>
      </c>
      <c r="S126" s="5" t="s">
        <v>33</v>
      </c>
      <c r="T126" s="5"/>
      <c r="U126" s="5">
        <v>619.76</v>
      </c>
      <c r="V126" s="5">
        <v>267.24</v>
      </c>
      <c r="W126" s="5">
        <v>246.79</v>
      </c>
      <c r="X126" s="5">
        <v>0</v>
      </c>
      <c r="Y126" s="5">
        <v>105.73</v>
      </c>
    </row>
    <row r="127" spans="1:25" ht="24.75" x14ac:dyDescent="0.25">
      <c r="A127" s="5" t="s">
        <v>26</v>
      </c>
      <c r="B127" s="5" t="s">
        <v>27</v>
      </c>
      <c r="C127" s="5" t="s">
        <v>47</v>
      </c>
      <c r="D127" s="5" t="s">
        <v>102</v>
      </c>
      <c r="E127" s="5" t="s">
        <v>35</v>
      </c>
      <c r="F127" s="5" t="s">
        <v>192</v>
      </c>
      <c r="G127" s="5">
        <v>2018</v>
      </c>
      <c r="H127" s="5" t="str">
        <f>CONCATENATE("84241054471")</f>
        <v>84241054471</v>
      </c>
      <c r="I127" s="5" t="s">
        <v>29</v>
      </c>
      <c r="J127" s="5" t="s">
        <v>36</v>
      </c>
      <c r="K127" s="5" t="str">
        <f>CONCATENATE("")</f>
        <v/>
      </c>
      <c r="L127" s="5" t="str">
        <f>CONCATENATE("11 11.1 4b")</f>
        <v>11 11.1 4b</v>
      </c>
      <c r="M127" s="5" t="str">
        <f>CONCATENATE("DNGNRC68P13G005I")</f>
        <v>DNGNRC68P13G005I</v>
      </c>
      <c r="N127" s="5" t="s">
        <v>211</v>
      </c>
      <c r="O127" s="5" t="s">
        <v>158</v>
      </c>
      <c r="P127" s="6">
        <v>43927</v>
      </c>
      <c r="Q127" s="5" t="s">
        <v>31</v>
      </c>
      <c r="R127" s="5" t="s">
        <v>32</v>
      </c>
      <c r="S127" s="5" t="s">
        <v>33</v>
      </c>
      <c r="T127" s="5"/>
      <c r="U127" s="5">
        <v>663.97</v>
      </c>
      <c r="V127" s="5">
        <v>286.3</v>
      </c>
      <c r="W127" s="5">
        <v>264.39</v>
      </c>
      <c r="X127" s="5">
        <v>0</v>
      </c>
      <c r="Y127" s="5">
        <v>113.28</v>
      </c>
    </row>
    <row r="128" spans="1:25" ht="24.75" x14ac:dyDescent="0.25">
      <c r="A128" s="5" t="s">
        <v>26</v>
      </c>
      <c r="B128" s="5" t="s">
        <v>27</v>
      </c>
      <c r="C128" s="5" t="s">
        <v>47</v>
      </c>
      <c r="D128" s="5" t="s">
        <v>102</v>
      </c>
      <c r="E128" s="5" t="s">
        <v>35</v>
      </c>
      <c r="F128" s="5" t="s">
        <v>192</v>
      </c>
      <c r="G128" s="5">
        <v>2019</v>
      </c>
      <c r="H128" s="5" t="str">
        <f>CONCATENATE("94240042963")</f>
        <v>94240042963</v>
      </c>
      <c r="I128" s="5" t="s">
        <v>29</v>
      </c>
      <c r="J128" s="5" t="s">
        <v>36</v>
      </c>
      <c r="K128" s="5" t="str">
        <f>CONCATENATE("")</f>
        <v/>
      </c>
      <c r="L128" s="5" t="str">
        <f>CONCATENATE("11 11.1 4b")</f>
        <v>11 11.1 4b</v>
      </c>
      <c r="M128" s="5" t="str">
        <f>CONCATENATE("DNGNRC68P13G005I")</f>
        <v>DNGNRC68P13G005I</v>
      </c>
      <c r="N128" s="5" t="s">
        <v>211</v>
      </c>
      <c r="O128" s="5" t="s">
        <v>158</v>
      </c>
      <c r="P128" s="6">
        <v>43927</v>
      </c>
      <c r="Q128" s="5" t="s">
        <v>31</v>
      </c>
      <c r="R128" s="5" t="s">
        <v>32</v>
      </c>
      <c r="S128" s="5" t="s">
        <v>33</v>
      </c>
      <c r="T128" s="5"/>
      <c r="U128" s="7">
        <v>1246.69</v>
      </c>
      <c r="V128" s="5">
        <v>537.57000000000005</v>
      </c>
      <c r="W128" s="5">
        <v>496.43</v>
      </c>
      <c r="X128" s="5">
        <v>0</v>
      </c>
      <c r="Y128" s="5">
        <v>212.69</v>
      </c>
    </row>
    <row r="129" spans="1:25" ht="24.75" x14ac:dyDescent="0.25">
      <c r="A129" s="5" t="s">
        <v>26</v>
      </c>
      <c r="B129" s="5" t="s">
        <v>27</v>
      </c>
      <c r="C129" s="5" t="s">
        <v>47</v>
      </c>
      <c r="D129" s="5" t="s">
        <v>52</v>
      </c>
      <c r="E129" s="5" t="s">
        <v>35</v>
      </c>
      <c r="F129" s="5" t="s">
        <v>91</v>
      </c>
      <c r="G129" s="5">
        <v>2016</v>
      </c>
      <c r="H129" s="5" t="str">
        <f>CONCATENATE("64211009432")</f>
        <v>64211009432</v>
      </c>
      <c r="I129" s="5" t="s">
        <v>29</v>
      </c>
      <c r="J129" s="5" t="s">
        <v>36</v>
      </c>
      <c r="K129" s="5" t="str">
        <f>CONCATENATE("")</f>
        <v/>
      </c>
      <c r="L129" s="5" t="str">
        <f>CONCATENATE("13 13.1 4a")</f>
        <v>13 13.1 4a</v>
      </c>
      <c r="M129" s="5" t="str">
        <f>CONCATENATE("MGNGTN67L24I459B")</f>
        <v>MGNGTN67L24I459B</v>
      </c>
      <c r="N129" s="5" t="s">
        <v>212</v>
      </c>
      <c r="O129" s="5" t="s">
        <v>163</v>
      </c>
      <c r="P129" s="6">
        <v>43927</v>
      </c>
      <c r="Q129" s="5" t="s">
        <v>31</v>
      </c>
      <c r="R129" s="5" t="s">
        <v>32</v>
      </c>
      <c r="S129" s="5" t="s">
        <v>33</v>
      </c>
      <c r="T129" s="5"/>
      <c r="U129" s="7">
        <v>2183.16</v>
      </c>
      <c r="V129" s="5">
        <v>941.38</v>
      </c>
      <c r="W129" s="5">
        <v>869.33</v>
      </c>
      <c r="X129" s="5">
        <v>0</v>
      </c>
      <c r="Y129" s="5">
        <v>372.45</v>
      </c>
    </row>
    <row r="130" spans="1:25" x14ac:dyDescent="0.25">
      <c r="A130" s="5" t="s">
        <v>26</v>
      </c>
      <c r="B130" s="5" t="s">
        <v>27</v>
      </c>
      <c r="C130" s="5" t="s">
        <v>47</v>
      </c>
      <c r="D130" s="5" t="s">
        <v>164</v>
      </c>
      <c r="E130" s="5" t="s">
        <v>37</v>
      </c>
      <c r="F130" s="5" t="s">
        <v>213</v>
      </c>
      <c r="G130" s="5">
        <v>2019</v>
      </c>
      <c r="H130" s="5" t="str">
        <f>CONCATENATE("94210769421")</f>
        <v>94210769421</v>
      </c>
      <c r="I130" s="5" t="s">
        <v>29</v>
      </c>
      <c r="J130" s="5" t="s">
        <v>36</v>
      </c>
      <c r="K130" s="5" t="str">
        <f>CONCATENATE("")</f>
        <v/>
      </c>
      <c r="L130" s="5" t="str">
        <f>CONCATENATE("13 13.1 4a")</f>
        <v>13 13.1 4a</v>
      </c>
      <c r="M130" s="5" t="str">
        <f>CONCATENATE("01270910431")</f>
        <v>01270910431</v>
      </c>
      <c r="N130" s="5" t="s">
        <v>214</v>
      </c>
      <c r="O130" s="5" t="s">
        <v>163</v>
      </c>
      <c r="P130" s="6">
        <v>43927</v>
      </c>
      <c r="Q130" s="5" t="s">
        <v>31</v>
      </c>
      <c r="R130" s="5" t="s">
        <v>32</v>
      </c>
      <c r="S130" s="5" t="s">
        <v>33</v>
      </c>
      <c r="T130" s="5"/>
      <c r="U130" s="7">
        <v>3950.98</v>
      </c>
      <c r="V130" s="7">
        <v>1703.66</v>
      </c>
      <c r="W130" s="7">
        <v>1573.28</v>
      </c>
      <c r="X130" s="5">
        <v>0</v>
      </c>
      <c r="Y130" s="5">
        <v>674.04</v>
      </c>
    </row>
    <row r="131" spans="1:25" x14ac:dyDescent="0.25">
      <c r="A131" s="5" t="s">
        <v>26</v>
      </c>
      <c r="B131" s="5" t="s">
        <v>27</v>
      </c>
      <c r="C131" s="5" t="s">
        <v>47</v>
      </c>
      <c r="D131" s="5" t="s">
        <v>164</v>
      </c>
      <c r="E131" s="5" t="s">
        <v>35</v>
      </c>
      <c r="F131" s="5" t="s">
        <v>108</v>
      </c>
      <c r="G131" s="5">
        <v>2019</v>
      </c>
      <c r="H131" s="5" t="str">
        <f>CONCATENATE("94210641745")</f>
        <v>94210641745</v>
      </c>
      <c r="I131" s="5" t="s">
        <v>29</v>
      </c>
      <c r="J131" s="5" t="s">
        <v>36</v>
      </c>
      <c r="K131" s="5" t="str">
        <f>CONCATENATE("")</f>
        <v/>
      </c>
      <c r="L131" s="5" t="str">
        <f>CONCATENATE("13 13.1 4a")</f>
        <v>13 13.1 4a</v>
      </c>
      <c r="M131" s="5" t="str">
        <f>CONCATENATE("SNTDVD00T11G479K")</f>
        <v>SNTDVD00T11G479K</v>
      </c>
      <c r="N131" s="5" t="s">
        <v>215</v>
      </c>
      <c r="O131" s="5" t="s">
        <v>163</v>
      </c>
      <c r="P131" s="6">
        <v>43927</v>
      </c>
      <c r="Q131" s="5" t="s">
        <v>31</v>
      </c>
      <c r="R131" s="5" t="s">
        <v>32</v>
      </c>
      <c r="S131" s="5" t="s">
        <v>33</v>
      </c>
      <c r="T131" s="5"/>
      <c r="U131" s="7">
        <v>3123.36</v>
      </c>
      <c r="V131" s="7">
        <v>1346.79</v>
      </c>
      <c r="W131" s="7">
        <v>1243.72</v>
      </c>
      <c r="X131" s="5">
        <v>0</v>
      </c>
      <c r="Y131" s="5">
        <v>532.85</v>
      </c>
    </row>
    <row r="132" spans="1:25" ht="24.75" x14ac:dyDescent="0.25">
      <c r="A132" s="5" t="s">
        <v>26</v>
      </c>
      <c r="B132" s="5" t="s">
        <v>27</v>
      </c>
      <c r="C132" s="5" t="s">
        <v>47</v>
      </c>
      <c r="D132" s="5" t="s">
        <v>52</v>
      </c>
      <c r="E132" s="5" t="s">
        <v>28</v>
      </c>
      <c r="F132" s="5" t="s">
        <v>98</v>
      </c>
      <c r="G132" s="5">
        <v>2019</v>
      </c>
      <c r="H132" s="5" t="str">
        <f>CONCATENATE("94210176502")</f>
        <v>94210176502</v>
      </c>
      <c r="I132" s="5" t="s">
        <v>29</v>
      </c>
      <c r="J132" s="5" t="s">
        <v>36</v>
      </c>
      <c r="K132" s="5" t="str">
        <f>CONCATENATE("")</f>
        <v/>
      </c>
      <c r="L132" s="5" t="str">
        <f>CONCATENATE("13 13.1 4a")</f>
        <v>13 13.1 4a</v>
      </c>
      <c r="M132" s="5" t="str">
        <f>CONCATENATE("RSSGNN56M13F467D")</f>
        <v>RSSGNN56M13F467D</v>
      </c>
      <c r="N132" s="5" t="s">
        <v>216</v>
      </c>
      <c r="O132" s="5" t="s">
        <v>163</v>
      </c>
      <c r="P132" s="6">
        <v>43927</v>
      </c>
      <c r="Q132" s="5" t="s">
        <v>31</v>
      </c>
      <c r="R132" s="5" t="s">
        <v>32</v>
      </c>
      <c r="S132" s="5" t="s">
        <v>33</v>
      </c>
      <c r="T132" s="5"/>
      <c r="U132" s="7">
        <v>4716.92</v>
      </c>
      <c r="V132" s="7">
        <v>2033.94</v>
      </c>
      <c r="W132" s="7">
        <v>1878.28</v>
      </c>
      <c r="X132" s="5">
        <v>0</v>
      </c>
      <c r="Y132" s="5">
        <v>804.7</v>
      </c>
    </row>
    <row r="133" spans="1:25" ht="24.75" x14ac:dyDescent="0.25">
      <c r="A133" s="5" t="s">
        <v>26</v>
      </c>
      <c r="B133" s="5" t="s">
        <v>27</v>
      </c>
      <c r="C133" s="5" t="s">
        <v>47</v>
      </c>
      <c r="D133" s="5" t="s">
        <v>48</v>
      </c>
      <c r="E133" s="5" t="s">
        <v>35</v>
      </c>
      <c r="F133" s="5" t="s">
        <v>154</v>
      </c>
      <c r="G133" s="5">
        <v>2019</v>
      </c>
      <c r="H133" s="5" t="str">
        <f>CONCATENATE("94210474584")</f>
        <v>94210474584</v>
      </c>
      <c r="I133" s="5" t="s">
        <v>29</v>
      </c>
      <c r="J133" s="5" t="s">
        <v>36</v>
      </c>
      <c r="K133" s="5" t="str">
        <f>CONCATENATE("")</f>
        <v/>
      </c>
      <c r="L133" s="5" t="str">
        <f>CONCATENATE("13 13.1 4a")</f>
        <v>13 13.1 4a</v>
      </c>
      <c r="M133" s="5" t="str">
        <f>CONCATENATE("SCPMRN29E01A329Z")</f>
        <v>SCPMRN29E01A329Z</v>
      </c>
      <c r="N133" s="5" t="s">
        <v>217</v>
      </c>
      <c r="O133" s="5" t="s">
        <v>163</v>
      </c>
      <c r="P133" s="6">
        <v>43927</v>
      </c>
      <c r="Q133" s="5" t="s">
        <v>31</v>
      </c>
      <c r="R133" s="5" t="s">
        <v>32</v>
      </c>
      <c r="S133" s="5" t="s">
        <v>33</v>
      </c>
      <c r="T133" s="5"/>
      <c r="U133" s="7">
        <v>9000</v>
      </c>
      <c r="V133" s="7">
        <v>3880.8</v>
      </c>
      <c r="W133" s="7">
        <v>3583.8</v>
      </c>
      <c r="X133" s="5">
        <v>0</v>
      </c>
      <c r="Y133" s="7">
        <v>1535.4</v>
      </c>
    </row>
    <row r="134" spans="1:25" ht="24.75" x14ac:dyDescent="0.25">
      <c r="A134" s="5" t="s">
        <v>26</v>
      </c>
      <c r="B134" s="5" t="s">
        <v>27</v>
      </c>
      <c r="C134" s="5" t="s">
        <v>47</v>
      </c>
      <c r="D134" s="5" t="s">
        <v>52</v>
      </c>
      <c r="E134" s="5" t="s">
        <v>28</v>
      </c>
      <c r="F134" s="5" t="s">
        <v>98</v>
      </c>
      <c r="G134" s="5">
        <v>2019</v>
      </c>
      <c r="H134" s="5" t="str">
        <f>CONCATENATE("94210022250")</f>
        <v>94210022250</v>
      </c>
      <c r="I134" s="5" t="s">
        <v>29</v>
      </c>
      <c r="J134" s="5" t="s">
        <v>36</v>
      </c>
      <c r="K134" s="5" t="str">
        <f>CONCATENATE("")</f>
        <v/>
      </c>
      <c r="L134" s="5" t="str">
        <f>CONCATENATE("13 13.1 4a")</f>
        <v>13 13.1 4a</v>
      </c>
      <c r="M134" s="5" t="str">
        <f>CONCATENATE("PRCSNT45R31B816N")</f>
        <v>PRCSNT45R31B816N</v>
      </c>
      <c r="N134" s="5" t="s">
        <v>218</v>
      </c>
      <c r="O134" s="5" t="s">
        <v>163</v>
      </c>
      <c r="P134" s="6">
        <v>43927</v>
      </c>
      <c r="Q134" s="5" t="s">
        <v>31</v>
      </c>
      <c r="R134" s="5" t="s">
        <v>32</v>
      </c>
      <c r="S134" s="5" t="s">
        <v>33</v>
      </c>
      <c r="T134" s="5"/>
      <c r="U134" s="7">
        <v>1795.22</v>
      </c>
      <c r="V134" s="5">
        <v>774.1</v>
      </c>
      <c r="W134" s="5">
        <v>714.86</v>
      </c>
      <c r="X134" s="5">
        <v>0</v>
      </c>
      <c r="Y134" s="5">
        <v>306.26</v>
      </c>
    </row>
    <row r="135" spans="1:25" ht="24.75" x14ac:dyDescent="0.25">
      <c r="A135" s="5" t="s">
        <v>26</v>
      </c>
      <c r="B135" s="5" t="s">
        <v>27</v>
      </c>
      <c r="C135" s="5" t="s">
        <v>47</v>
      </c>
      <c r="D135" s="5" t="s">
        <v>52</v>
      </c>
      <c r="E135" s="5" t="s">
        <v>35</v>
      </c>
      <c r="F135" s="5" t="s">
        <v>70</v>
      </c>
      <c r="G135" s="5">
        <v>2019</v>
      </c>
      <c r="H135" s="5" t="str">
        <f>CONCATENATE("94210371723")</f>
        <v>94210371723</v>
      </c>
      <c r="I135" s="5" t="s">
        <v>29</v>
      </c>
      <c r="J135" s="5" t="s">
        <v>36</v>
      </c>
      <c r="K135" s="5" t="str">
        <f>CONCATENATE("")</f>
        <v/>
      </c>
      <c r="L135" s="5" t="str">
        <f>CONCATENATE("13 13.1 4a")</f>
        <v>13 13.1 4a</v>
      </c>
      <c r="M135" s="5" t="str">
        <f>CONCATENATE("SLTRFL42R01L500S")</f>
        <v>SLTRFL42R01L500S</v>
      </c>
      <c r="N135" s="5" t="s">
        <v>219</v>
      </c>
      <c r="O135" s="5" t="s">
        <v>163</v>
      </c>
      <c r="P135" s="6">
        <v>43927</v>
      </c>
      <c r="Q135" s="5" t="s">
        <v>31</v>
      </c>
      <c r="R135" s="5" t="s">
        <v>32</v>
      </c>
      <c r="S135" s="5" t="s">
        <v>33</v>
      </c>
      <c r="T135" s="5"/>
      <c r="U135" s="5">
        <v>155.5</v>
      </c>
      <c r="V135" s="5">
        <v>67.05</v>
      </c>
      <c r="W135" s="5">
        <v>61.92</v>
      </c>
      <c r="X135" s="5">
        <v>0</v>
      </c>
      <c r="Y135" s="5">
        <v>26.53</v>
      </c>
    </row>
    <row r="136" spans="1:25" ht="24.75" x14ac:dyDescent="0.25">
      <c r="A136" s="5" t="s">
        <v>26</v>
      </c>
      <c r="B136" s="5" t="s">
        <v>27</v>
      </c>
      <c r="C136" s="5" t="s">
        <v>47</v>
      </c>
      <c r="D136" s="5" t="s">
        <v>52</v>
      </c>
      <c r="E136" s="5" t="s">
        <v>35</v>
      </c>
      <c r="F136" s="5" t="s">
        <v>56</v>
      </c>
      <c r="G136" s="5">
        <v>2018</v>
      </c>
      <c r="H136" s="5" t="str">
        <f>CONCATENATE("84211638634")</f>
        <v>84211638634</v>
      </c>
      <c r="I136" s="5" t="s">
        <v>29</v>
      </c>
      <c r="J136" s="5" t="s">
        <v>36</v>
      </c>
      <c r="K136" s="5" t="str">
        <f>CONCATENATE("")</f>
        <v/>
      </c>
      <c r="L136" s="5" t="str">
        <f>CONCATENATE("13 13.1 4a")</f>
        <v>13 13.1 4a</v>
      </c>
      <c r="M136" s="5" t="str">
        <f>CONCATENATE("02334930415")</f>
        <v>02334930415</v>
      </c>
      <c r="N136" s="5" t="s">
        <v>220</v>
      </c>
      <c r="O136" s="5" t="s">
        <v>163</v>
      </c>
      <c r="P136" s="6">
        <v>43927</v>
      </c>
      <c r="Q136" s="5" t="s">
        <v>31</v>
      </c>
      <c r="R136" s="5" t="s">
        <v>32</v>
      </c>
      <c r="S136" s="5" t="s">
        <v>33</v>
      </c>
      <c r="T136" s="5"/>
      <c r="U136" s="7">
        <v>4478.87</v>
      </c>
      <c r="V136" s="7">
        <v>1931.29</v>
      </c>
      <c r="W136" s="7">
        <v>1783.49</v>
      </c>
      <c r="X136" s="5">
        <v>0</v>
      </c>
      <c r="Y136" s="5">
        <v>764.09</v>
      </c>
    </row>
    <row r="137" spans="1:25" ht="24.75" x14ac:dyDescent="0.25">
      <c r="A137" s="5" t="s">
        <v>26</v>
      </c>
      <c r="B137" s="5" t="s">
        <v>27</v>
      </c>
      <c r="C137" s="5" t="s">
        <v>47</v>
      </c>
      <c r="D137" s="5" t="s">
        <v>48</v>
      </c>
      <c r="E137" s="5" t="s">
        <v>42</v>
      </c>
      <c r="F137" s="5" t="s">
        <v>221</v>
      </c>
      <c r="G137" s="5">
        <v>2019</v>
      </c>
      <c r="H137" s="5" t="str">
        <f>CONCATENATE("94210403740")</f>
        <v>94210403740</v>
      </c>
      <c r="I137" s="5" t="s">
        <v>29</v>
      </c>
      <c r="J137" s="5" t="s">
        <v>36</v>
      </c>
      <c r="K137" s="5" t="str">
        <f>CONCATENATE("")</f>
        <v/>
      </c>
      <c r="L137" s="5" t="str">
        <f>CONCATENATE("13 13.1 4a")</f>
        <v>13 13.1 4a</v>
      </c>
      <c r="M137" s="5" t="str">
        <f>CONCATENATE("MLTMSS77E51I461Q")</f>
        <v>MLTMSS77E51I461Q</v>
      </c>
      <c r="N137" s="5" t="s">
        <v>222</v>
      </c>
      <c r="O137" s="5" t="s">
        <v>163</v>
      </c>
      <c r="P137" s="6">
        <v>43927</v>
      </c>
      <c r="Q137" s="5" t="s">
        <v>31</v>
      </c>
      <c r="R137" s="5" t="s">
        <v>32</v>
      </c>
      <c r="S137" s="5" t="s">
        <v>33</v>
      </c>
      <c r="T137" s="5"/>
      <c r="U137" s="5">
        <v>767.22</v>
      </c>
      <c r="V137" s="5">
        <v>330.83</v>
      </c>
      <c r="W137" s="5">
        <v>305.51</v>
      </c>
      <c r="X137" s="5">
        <v>0</v>
      </c>
      <c r="Y137" s="5">
        <v>130.88</v>
      </c>
    </row>
    <row r="138" spans="1:25" ht="24.75" x14ac:dyDescent="0.25">
      <c r="A138" s="5" t="s">
        <v>26</v>
      </c>
      <c r="B138" s="5" t="s">
        <v>27</v>
      </c>
      <c r="C138" s="5" t="s">
        <v>47</v>
      </c>
      <c r="D138" s="5" t="s">
        <v>52</v>
      </c>
      <c r="E138" s="5" t="s">
        <v>28</v>
      </c>
      <c r="F138" s="5" t="s">
        <v>98</v>
      </c>
      <c r="G138" s="5">
        <v>2019</v>
      </c>
      <c r="H138" s="5" t="str">
        <f>CONCATENATE("94210194729")</f>
        <v>94210194729</v>
      </c>
      <c r="I138" s="5" t="s">
        <v>29</v>
      </c>
      <c r="J138" s="5" t="s">
        <v>36</v>
      </c>
      <c r="K138" s="5" t="str">
        <f>CONCATENATE("")</f>
        <v/>
      </c>
      <c r="L138" s="5" t="str">
        <f>CONCATENATE("13 13.1 4a")</f>
        <v>13 13.1 4a</v>
      </c>
      <c r="M138" s="5" t="str">
        <f>CONCATENATE("NCCTZN59P30A493G")</f>
        <v>NCCTZN59P30A493G</v>
      </c>
      <c r="N138" s="5" t="s">
        <v>223</v>
      </c>
      <c r="O138" s="5" t="s">
        <v>163</v>
      </c>
      <c r="P138" s="6">
        <v>43927</v>
      </c>
      <c r="Q138" s="5" t="s">
        <v>31</v>
      </c>
      <c r="R138" s="5" t="s">
        <v>32</v>
      </c>
      <c r="S138" s="5" t="s">
        <v>33</v>
      </c>
      <c r="T138" s="5"/>
      <c r="U138" s="5">
        <v>525.41999999999996</v>
      </c>
      <c r="V138" s="5">
        <v>226.56</v>
      </c>
      <c r="W138" s="5">
        <v>209.22</v>
      </c>
      <c r="X138" s="5">
        <v>0</v>
      </c>
      <c r="Y138" s="5">
        <v>89.64</v>
      </c>
    </row>
    <row r="139" spans="1:25" x14ac:dyDescent="0.25">
      <c r="A139" s="5" t="s">
        <v>26</v>
      </c>
      <c r="B139" s="5" t="s">
        <v>27</v>
      </c>
      <c r="C139" s="5" t="s">
        <v>47</v>
      </c>
      <c r="D139" s="5" t="s">
        <v>164</v>
      </c>
      <c r="E139" s="5" t="s">
        <v>35</v>
      </c>
      <c r="F139" s="5" t="s">
        <v>224</v>
      </c>
      <c r="G139" s="5">
        <v>2018</v>
      </c>
      <c r="H139" s="5" t="str">
        <f>CONCATENATE("84210270728")</f>
        <v>84210270728</v>
      </c>
      <c r="I139" s="5" t="s">
        <v>29</v>
      </c>
      <c r="J139" s="5" t="s">
        <v>36</v>
      </c>
      <c r="K139" s="5" t="str">
        <f>CONCATENATE("")</f>
        <v/>
      </c>
      <c r="L139" s="5" t="str">
        <f>CONCATENATE("13 13.1 4a")</f>
        <v>13 13.1 4a</v>
      </c>
      <c r="M139" s="5" t="str">
        <f>CONCATENATE("PRMNDR74S08B474X")</f>
        <v>PRMNDR74S08B474X</v>
      </c>
      <c r="N139" s="5" t="s">
        <v>225</v>
      </c>
      <c r="O139" s="5" t="s">
        <v>163</v>
      </c>
      <c r="P139" s="6">
        <v>43927</v>
      </c>
      <c r="Q139" s="5" t="s">
        <v>31</v>
      </c>
      <c r="R139" s="5" t="s">
        <v>32</v>
      </c>
      <c r="S139" s="5" t="s">
        <v>33</v>
      </c>
      <c r="T139" s="5"/>
      <c r="U139" s="5">
        <v>304.22000000000003</v>
      </c>
      <c r="V139" s="5">
        <v>131.18</v>
      </c>
      <c r="W139" s="5">
        <v>121.14</v>
      </c>
      <c r="X139" s="5">
        <v>0</v>
      </c>
      <c r="Y139" s="5">
        <v>51.9</v>
      </c>
    </row>
    <row r="140" spans="1:25" ht="24.75" x14ac:dyDescent="0.25">
      <c r="A140" s="5" t="s">
        <v>26</v>
      </c>
      <c r="B140" s="5" t="s">
        <v>27</v>
      </c>
      <c r="C140" s="5" t="s">
        <v>47</v>
      </c>
      <c r="D140" s="5" t="s">
        <v>48</v>
      </c>
      <c r="E140" s="5" t="s">
        <v>35</v>
      </c>
      <c r="F140" s="5" t="s">
        <v>85</v>
      </c>
      <c r="G140" s="5">
        <v>2019</v>
      </c>
      <c r="H140" s="5" t="str">
        <f>CONCATENATE("94210401835")</f>
        <v>94210401835</v>
      </c>
      <c r="I140" s="5" t="s">
        <v>29</v>
      </c>
      <c r="J140" s="5" t="s">
        <v>36</v>
      </c>
      <c r="K140" s="5" t="str">
        <f>CONCATENATE("")</f>
        <v/>
      </c>
      <c r="L140" s="5" t="str">
        <f>CONCATENATE("13 13.1 4a")</f>
        <v>13 13.1 4a</v>
      </c>
      <c r="M140" s="5" t="str">
        <f>CONCATENATE("RGNGCM48B22D451U")</f>
        <v>RGNGCM48B22D451U</v>
      </c>
      <c r="N140" s="5" t="s">
        <v>226</v>
      </c>
      <c r="O140" s="5" t="s">
        <v>163</v>
      </c>
      <c r="P140" s="6">
        <v>43927</v>
      </c>
      <c r="Q140" s="5" t="s">
        <v>31</v>
      </c>
      <c r="R140" s="5" t="s">
        <v>32</v>
      </c>
      <c r="S140" s="5" t="s">
        <v>33</v>
      </c>
      <c r="T140" s="5"/>
      <c r="U140" s="5">
        <v>203.06</v>
      </c>
      <c r="V140" s="5">
        <v>87.56</v>
      </c>
      <c r="W140" s="5">
        <v>80.86</v>
      </c>
      <c r="X140" s="5">
        <v>0</v>
      </c>
      <c r="Y140" s="5">
        <v>34.64</v>
      </c>
    </row>
    <row r="141" spans="1:25" x14ac:dyDescent="0.25">
      <c r="A141" s="5" t="s">
        <v>26</v>
      </c>
      <c r="B141" s="5" t="s">
        <v>27</v>
      </c>
      <c r="C141" s="5" t="s">
        <v>47</v>
      </c>
      <c r="D141" s="5" t="s">
        <v>164</v>
      </c>
      <c r="E141" s="5" t="s">
        <v>40</v>
      </c>
      <c r="F141" s="5" t="s">
        <v>227</v>
      </c>
      <c r="G141" s="5">
        <v>2018</v>
      </c>
      <c r="H141" s="5" t="str">
        <f>CONCATENATE("84210364703")</f>
        <v>84210364703</v>
      </c>
      <c r="I141" s="5" t="s">
        <v>29</v>
      </c>
      <c r="J141" s="5" t="s">
        <v>36</v>
      </c>
      <c r="K141" s="5" t="str">
        <f>CONCATENATE("")</f>
        <v/>
      </c>
      <c r="L141" s="5" t="str">
        <f>CONCATENATE("13 13.1 4a")</f>
        <v>13 13.1 4a</v>
      </c>
      <c r="M141" s="5" t="str">
        <f>CONCATENATE("RCCFNC92H07B474V")</f>
        <v>RCCFNC92H07B474V</v>
      </c>
      <c r="N141" s="5" t="s">
        <v>228</v>
      </c>
      <c r="O141" s="5" t="s">
        <v>163</v>
      </c>
      <c r="P141" s="6">
        <v>43927</v>
      </c>
      <c r="Q141" s="5" t="s">
        <v>31</v>
      </c>
      <c r="R141" s="5" t="s">
        <v>32</v>
      </c>
      <c r="S141" s="5" t="s">
        <v>33</v>
      </c>
      <c r="T141" s="5"/>
      <c r="U141" s="5">
        <v>103.78</v>
      </c>
      <c r="V141" s="5">
        <v>44.75</v>
      </c>
      <c r="W141" s="5">
        <v>41.33</v>
      </c>
      <c r="X141" s="5">
        <v>0</v>
      </c>
      <c r="Y141" s="5">
        <v>17.7</v>
      </c>
    </row>
    <row r="142" spans="1:25" x14ac:dyDescent="0.25">
      <c r="A142" s="5" t="s">
        <v>26</v>
      </c>
      <c r="B142" s="5" t="s">
        <v>27</v>
      </c>
      <c r="C142" s="5" t="s">
        <v>47</v>
      </c>
      <c r="D142" s="5" t="s">
        <v>164</v>
      </c>
      <c r="E142" s="5" t="s">
        <v>40</v>
      </c>
      <c r="F142" s="5" t="s">
        <v>227</v>
      </c>
      <c r="G142" s="5">
        <v>2018</v>
      </c>
      <c r="H142" s="5" t="str">
        <f>CONCATENATE("84210594218")</f>
        <v>84210594218</v>
      </c>
      <c r="I142" s="5" t="s">
        <v>29</v>
      </c>
      <c r="J142" s="5" t="s">
        <v>36</v>
      </c>
      <c r="K142" s="5" t="str">
        <f>CONCATENATE("")</f>
        <v/>
      </c>
      <c r="L142" s="5" t="str">
        <f>CONCATENATE("13 13.1 4a")</f>
        <v>13 13.1 4a</v>
      </c>
      <c r="M142" s="5" t="str">
        <f>CONCATENATE("01975910439")</f>
        <v>01975910439</v>
      </c>
      <c r="N142" s="5" t="s">
        <v>229</v>
      </c>
      <c r="O142" s="5" t="s">
        <v>163</v>
      </c>
      <c r="P142" s="6">
        <v>43927</v>
      </c>
      <c r="Q142" s="5" t="s">
        <v>31</v>
      </c>
      <c r="R142" s="5" t="s">
        <v>32</v>
      </c>
      <c r="S142" s="5" t="s">
        <v>33</v>
      </c>
      <c r="T142" s="5"/>
      <c r="U142" s="5">
        <v>695.21</v>
      </c>
      <c r="V142" s="5">
        <v>299.77</v>
      </c>
      <c r="W142" s="5">
        <v>276.83</v>
      </c>
      <c r="X142" s="5">
        <v>0</v>
      </c>
      <c r="Y142" s="5">
        <v>118.61</v>
      </c>
    </row>
    <row r="143" spans="1:25" ht="24.75" x14ac:dyDescent="0.25">
      <c r="A143" s="5" t="s">
        <v>26</v>
      </c>
      <c r="B143" s="5" t="s">
        <v>27</v>
      </c>
      <c r="C143" s="5" t="s">
        <v>47</v>
      </c>
      <c r="D143" s="5" t="s">
        <v>52</v>
      </c>
      <c r="E143" s="5" t="s">
        <v>42</v>
      </c>
      <c r="F143" s="5" t="s">
        <v>73</v>
      </c>
      <c r="G143" s="5">
        <v>2018</v>
      </c>
      <c r="H143" s="5" t="str">
        <f>CONCATENATE("84211087956")</f>
        <v>84211087956</v>
      </c>
      <c r="I143" s="5" t="s">
        <v>29</v>
      </c>
      <c r="J143" s="5" t="s">
        <v>36</v>
      </c>
      <c r="K143" s="5" t="str">
        <f>CONCATENATE("")</f>
        <v/>
      </c>
      <c r="L143" s="5" t="str">
        <f>CONCATENATE("13 13.1 4a")</f>
        <v>13 13.1 4a</v>
      </c>
      <c r="M143" s="5" t="str">
        <f>CONCATENATE("00457600419")</f>
        <v>00457600419</v>
      </c>
      <c r="N143" s="5" t="s">
        <v>230</v>
      </c>
      <c r="O143" s="5" t="s">
        <v>163</v>
      </c>
      <c r="P143" s="6">
        <v>43927</v>
      </c>
      <c r="Q143" s="5" t="s">
        <v>31</v>
      </c>
      <c r="R143" s="5" t="s">
        <v>32</v>
      </c>
      <c r="S143" s="5" t="s">
        <v>33</v>
      </c>
      <c r="T143" s="5"/>
      <c r="U143" s="7">
        <v>1132.29</v>
      </c>
      <c r="V143" s="5">
        <v>488.24</v>
      </c>
      <c r="W143" s="5">
        <v>450.88</v>
      </c>
      <c r="X143" s="5">
        <v>0</v>
      </c>
      <c r="Y143" s="5">
        <v>193.17</v>
      </c>
    </row>
    <row r="144" spans="1:25" ht="24.75" x14ac:dyDescent="0.25">
      <c r="A144" s="5" t="s">
        <v>26</v>
      </c>
      <c r="B144" s="5" t="s">
        <v>27</v>
      </c>
      <c r="C144" s="5" t="s">
        <v>47</v>
      </c>
      <c r="D144" s="5" t="s">
        <v>48</v>
      </c>
      <c r="E144" s="5" t="s">
        <v>35</v>
      </c>
      <c r="F144" s="5" t="s">
        <v>154</v>
      </c>
      <c r="G144" s="5">
        <v>2019</v>
      </c>
      <c r="H144" s="5" t="str">
        <f>CONCATENATE("94210447358")</f>
        <v>94210447358</v>
      </c>
      <c r="I144" s="5" t="s">
        <v>29</v>
      </c>
      <c r="J144" s="5" t="s">
        <v>36</v>
      </c>
      <c r="K144" s="5" t="str">
        <f>CONCATENATE("")</f>
        <v/>
      </c>
      <c r="L144" s="5" t="str">
        <f>CONCATENATE("13 13.1 4a")</f>
        <v>13 13.1 4a</v>
      </c>
      <c r="M144" s="5" t="str">
        <f>CONCATENATE("TSBPRN34P21H576W")</f>
        <v>TSBPRN34P21H576W</v>
      </c>
      <c r="N144" s="5" t="s">
        <v>231</v>
      </c>
      <c r="O144" s="5" t="s">
        <v>163</v>
      </c>
      <c r="P144" s="6">
        <v>43927</v>
      </c>
      <c r="Q144" s="5" t="s">
        <v>31</v>
      </c>
      <c r="R144" s="5" t="s">
        <v>32</v>
      </c>
      <c r="S144" s="5" t="s">
        <v>33</v>
      </c>
      <c r="T144" s="5"/>
      <c r="U144" s="5">
        <v>439.22</v>
      </c>
      <c r="V144" s="5">
        <v>189.39</v>
      </c>
      <c r="W144" s="5">
        <v>174.9</v>
      </c>
      <c r="X144" s="5">
        <v>0</v>
      </c>
      <c r="Y144" s="5">
        <v>74.930000000000007</v>
      </c>
    </row>
    <row r="145" spans="1:25" ht="24.75" x14ac:dyDescent="0.25">
      <c r="A145" s="5" t="s">
        <v>26</v>
      </c>
      <c r="B145" s="5" t="s">
        <v>27</v>
      </c>
      <c r="C145" s="5" t="s">
        <v>47</v>
      </c>
      <c r="D145" s="5" t="s">
        <v>102</v>
      </c>
      <c r="E145" s="5" t="s">
        <v>42</v>
      </c>
      <c r="F145" s="5" t="s">
        <v>141</v>
      </c>
      <c r="G145" s="5">
        <v>2018</v>
      </c>
      <c r="H145" s="5" t="str">
        <f>CONCATENATE("84240486690")</f>
        <v>84240486690</v>
      </c>
      <c r="I145" s="5" t="s">
        <v>29</v>
      </c>
      <c r="J145" s="5" t="s">
        <v>36</v>
      </c>
      <c r="K145" s="5" t="str">
        <f>CONCATENATE("")</f>
        <v/>
      </c>
      <c r="L145" s="5" t="str">
        <f>CONCATENATE("11 11.2 4b")</f>
        <v>11 11.2 4b</v>
      </c>
      <c r="M145" s="5" t="str">
        <f>CONCATENATE("CTNGPP81P15F522A")</f>
        <v>CTNGPP81P15F522A</v>
      </c>
      <c r="N145" s="5" t="s">
        <v>232</v>
      </c>
      <c r="O145" s="5" t="s">
        <v>158</v>
      </c>
      <c r="P145" s="6">
        <v>43927</v>
      </c>
      <c r="Q145" s="5" t="s">
        <v>31</v>
      </c>
      <c r="R145" s="5" t="s">
        <v>32</v>
      </c>
      <c r="S145" s="5" t="s">
        <v>33</v>
      </c>
      <c r="T145" s="5"/>
      <c r="U145" s="7">
        <v>3447.43</v>
      </c>
      <c r="V145" s="7">
        <v>1486.53</v>
      </c>
      <c r="W145" s="7">
        <v>1372.77</v>
      </c>
      <c r="X145" s="5">
        <v>0</v>
      </c>
      <c r="Y145" s="5">
        <v>588.13</v>
      </c>
    </row>
    <row r="146" spans="1:25" ht="24.75" x14ac:dyDescent="0.25">
      <c r="A146" s="5" t="s">
        <v>26</v>
      </c>
      <c r="B146" s="5" t="s">
        <v>27</v>
      </c>
      <c r="C146" s="5" t="s">
        <v>47</v>
      </c>
      <c r="D146" s="5" t="s">
        <v>102</v>
      </c>
      <c r="E146" s="5" t="s">
        <v>28</v>
      </c>
      <c r="F146" s="5" t="s">
        <v>233</v>
      </c>
      <c r="G146" s="5">
        <v>2019</v>
      </c>
      <c r="H146" s="5" t="str">
        <f>CONCATENATE("94240318199")</f>
        <v>94240318199</v>
      </c>
      <c r="I146" s="5" t="s">
        <v>29</v>
      </c>
      <c r="J146" s="5" t="s">
        <v>36</v>
      </c>
      <c r="K146" s="5" t="str">
        <f>CONCATENATE("")</f>
        <v/>
      </c>
      <c r="L146" s="5" t="str">
        <f>CONCATENATE("11 11.2 4b")</f>
        <v>11 11.2 4b</v>
      </c>
      <c r="M146" s="5" t="str">
        <f>CONCATENATE("NPLLLL63A43F501J")</f>
        <v>NPLLLL63A43F501J</v>
      </c>
      <c r="N146" s="5" t="s">
        <v>234</v>
      </c>
      <c r="O146" s="5" t="s">
        <v>158</v>
      </c>
      <c r="P146" s="6">
        <v>43927</v>
      </c>
      <c r="Q146" s="5" t="s">
        <v>31</v>
      </c>
      <c r="R146" s="5" t="s">
        <v>32</v>
      </c>
      <c r="S146" s="5" t="s">
        <v>33</v>
      </c>
      <c r="T146" s="5"/>
      <c r="U146" s="5">
        <v>534.12</v>
      </c>
      <c r="V146" s="5">
        <v>230.31</v>
      </c>
      <c r="W146" s="5">
        <v>212.69</v>
      </c>
      <c r="X146" s="5">
        <v>0</v>
      </c>
      <c r="Y146" s="5">
        <v>91.12</v>
      </c>
    </row>
    <row r="147" spans="1:25" ht="24.75" x14ac:dyDescent="0.25">
      <c r="A147" s="5" t="s">
        <v>26</v>
      </c>
      <c r="B147" s="5" t="s">
        <v>27</v>
      </c>
      <c r="C147" s="5" t="s">
        <v>47</v>
      </c>
      <c r="D147" s="5" t="s">
        <v>52</v>
      </c>
      <c r="E147" s="5" t="s">
        <v>28</v>
      </c>
      <c r="F147" s="5" t="s">
        <v>79</v>
      </c>
      <c r="G147" s="5">
        <v>2019</v>
      </c>
      <c r="H147" s="5" t="str">
        <f>CONCATENATE("94240124654")</f>
        <v>94240124654</v>
      </c>
      <c r="I147" s="5" t="s">
        <v>43</v>
      </c>
      <c r="J147" s="5" t="s">
        <v>36</v>
      </c>
      <c r="K147" s="5" t="str">
        <f>CONCATENATE("")</f>
        <v/>
      </c>
      <c r="L147" s="5" t="str">
        <f>CONCATENATE("11 11.1 4b")</f>
        <v>11 11.1 4b</v>
      </c>
      <c r="M147" s="5" t="str">
        <f>CONCATENATE("SPDRRT65A24D808V")</f>
        <v>SPDRRT65A24D808V</v>
      </c>
      <c r="N147" s="5" t="s">
        <v>235</v>
      </c>
      <c r="O147" s="5" t="s">
        <v>172</v>
      </c>
      <c r="P147" s="6">
        <v>43927</v>
      </c>
      <c r="Q147" s="5" t="s">
        <v>31</v>
      </c>
      <c r="R147" s="5" t="s">
        <v>32</v>
      </c>
      <c r="S147" s="5" t="s">
        <v>33</v>
      </c>
      <c r="T147" s="5"/>
      <c r="U147" s="7">
        <v>2295.29</v>
      </c>
      <c r="V147" s="5">
        <v>989.73</v>
      </c>
      <c r="W147" s="5">
        <v>913.98</v>
      </c>
      <c r="X147" s="5">
        <v>0</v>
      </c>
      <c r="Y147" s="5">
        <v>391.58</v>
      </c>
    </row>
    <row r="148" spans="1:25" ht="24.75" x14ac:dyDescent="0.25">
      <c r="A148" s="5" t="s">
        <v>26</v>
      </c>
      <c r="B148" s="5" t="s">
        <v>27</v>
      </c>
      <c r="C148" s="5" t="s">
        <v>47</v>
      </c>
      <c r="D148" s="5" t="s">
        <v>52</v>
      </c>
      <c r="E148" s="5" t="s">
        <v>42</v>
      </c>
      <c r="F148" s="5" t="s">
        <v>73</v>
      </c>
      <c r="G148" s="5">
        <v>2019</v>
      </c>
      <c r="H148" s="5" t="str">
        <f>CONCATENATE("94241700965")</f>
        <v>94241700965</v>
      </c>
      <c r="I148" s="5" t="s">
        <v>29</v>
      </c>
      <c r="J148" s="5" t="s">
        <v>36</v>
      </c>
      <c r="K148" s="5" t="str">
        <f>CONCATENATE("")</f>
        <v/>
      </c>
      <c r="L148" s="5" t="str">
        <f>CONCATENATE("11 11.1 4b")</f>
        <v>11 11.1 4b</v>
      </c>
      <c r="M148" s="5" t="str">
        <f>CONCATENATE("02605260419")</f>
        <v>02605260419</v>
      </c>
      <c r="N148" s="5" t="s">
        <v>236</v>
      </c>
      <c r="O148" s="5" t="s">
        <v>172</v>
      </c>
      <c r="P148" s="6">
        <v>43927</v>
      </c>
      <c r="Q148" s="5" t="s">
        <v>31</v>
      </c>
      <c r="R148" s="5" t="s">
        <v>32</v>
      </c>
      <c r="S148" s="5" t="s">
        <v>33</v>
      </c>
      <c r="T148" s="5"/>
      <c r="U148" s="7">
        <v>7371.24</v>
      </c>
      <c r="V148" s="7">
        <v>3178.48</v>
      </c>
      <c r="W148" s="7">
        <v>2935.23</v>
      </c>
      <c r="X148" s="5">
        <v>0</v>
      </c>
      <c r="Y148" s="7">
        <v>1257.53</v>
      </c>
    </row>
    <row r="149" spans="1:25" ht="24.75" x14ac:dyDescent="0.25">
      <c r="A149" s="5" t="s">
        <v>26</v>
      </c>
      <c r="B149" s="5" t="s">
        <v>27</v>
      </c>
      <c r="C149" s="5" t="s">
        <v>47</v>
      </c>
      <c r="D149" s="5" t="s">
        <v>52</v>
      </c>
      <c r="E149" s="5" t="s">
        <v>38</v>
      </c>
      <c r="F149" s="5" t="s">
        <v>81</v>
      </c>
      <c r="G149" s="5">
        <v>2019</v>
      </c>
      <c r="H149" s="5" t="str">
        <f>CONCATENATE("94240546070")</f>
        <v>94240546070</v>
      </c>
      <c r="I149" s="5" t="s">
        <v>29</v>
      </c>
      <c r="J149" s="5" t="s">
        <v>36</v>
      </c>
      <c r="K149" s="5" t="str">
        <f>CONCATENATE("")</f>
        <v/>
      </c>
      <c r="L149" s="5" t="str">
        <f>CONCATENATE("11 11.2 4b")</f>
        <v>11 11.2 4b</v>
      </c>
      <c r="M149" s="5" t="str">
        <f>CONCATENATE("GBTNCL89E16C357N")</f>
        <v>GBTNCL89E16C357N</v>
      </c>
      <c r="N149" s="5" t="s">
        <v>237</v>
      </c>
      <c r="O149" s="5" t="s">
        <v>172</v>
      </c>
      <c r="P149" s="6">
        <v>43927</v>
      </c>
      <c r="Q149" s="5" t="s">
        <v>31</v>
      </c>
      <c r="R149" s="5" t="s">
        <v>32</v>
      </c>
      <c r="S149" s="5" t="s">
        <v>33</v>
      </c>
      <c r="T149" s="5"/>
      <c r="U149" s="5">
        <v>358.32</v>
      </c>
      <c r="V149" s="5">
        <v>154.51</v>
      </c>
      <c r="W149" s="5">
        <v>142.68</v>
      </c>
      <c r="X149" s="5">
        <v>0</v>
      </c>
      <c r="Y149" s="5">
        <v>61.13</v>
      </c>
    </row>
    <row r="150" spans="1:25" ht="24.75" x14ac:dyDescent="0.25">
      <c r="A150" s="5" t="s">
        <v>26</v>
      </c>
      <c r="B150" s="5" t="s">
        <v>27</v>
      </c>
      <c r="C150" s="5" t="s">
        <v>47</v>
      </c>
      <c r="D150" s="5" t="s">
        <v>52</v>
      </c>
      <c r="E150" s="5" t="s">
        <v>38</v>
      </c>
      <c r="F150" s="5" t="s">
        <v>81</v>
      </c>
      <c r="G150" s="5">
        <v>2019</v>
      </c>
      <c r="H150" s="5" t="str">
        <f>CONCATENATE("94240700453")</f>
        <v>94240700453</v>
      </c>
      <c r="I150" s="5" t="s">
        <v>29</v>
      </c>
      <c r="J150" s="5" t="s">
        <v>36</v>
      </c>
      <c r="K150" s="5" t="str">
        <f>CONCATENATE("")</f>
        <v/>
      </c>
      <c r="L150" s="5" t="str">
        <f>CONCATENATE("11 11.2 4b")</f>
        <v>11 11.2 4b</v>
      </c>
      <c r="M150" s="5" t="str">
        <f>CONCATENATE("BRNRNZ59C15A327K")</f>
        <v>BRNRNZ59C15A327K</v>
      </c>
      <c r="N150" s="5" t="s">
        <v>238</v>
      </c>
      <c r="O150" s="5" t="s">
        <v>172</v>
      </c>
      <c r="P150" s="6">
        <v>43927</v>
      </c>
      <c r="Q150" s="5" t="s">
        <v>31</v>
      </c>
      <c r="R150" s="5" t="s">
        <v>32</v>
      </c>
      <c r="S150" s="5" t="s">
        <v>33</v>
      </c>
      <c r="T150" s="5"/>
      <c r="U150" s="7">
        <v>2371.04</v>
      </c>
      <c r="V150" s="7">
        <v>1022.39</v>
      </c>
      <c r="W150" s="5">
        <v>944.15</v>
      </c>
      <c r="X150" s="5">
        <v>0</v>
      </c>
      <c r="Y150" s="5">
        <v>404.5</v>
      </c>
    </row>
    <row r="151" spans="1:25" ht="24.75" x14ac:dyDescent="0.25">
      <c r="A151" s="5" t="s">
        <v>26</v>
      </c>
      <c r="B151" s="5" t="s">
        <v>27</v>
      </c>
      <c r="C151" s="5" t="s">
        <v>47</v>
      </c>
      <c r="D151" s="5" t="s">
        <v>48</v>
      </c>
      <c r="E151" s="5" t="s">
        <v>35</v>
      </c>
      <c r="F151" s="5" t="s">
        <v>239</v>
      </c>
      <c r="G151" s="5">
        <v>2019</v>
      </c>
      <c r="H151" s="5" t="str">
        <f>CONCATENATE("94210532266")</f>
        <v>94210532266</v>
      </c>
      <c r="I151" s="5" t="s">
        <v>29</v>
      </c>
      <c r="J151" s="5" t="s">
        <v>36</v>
      </c>
      <c r="K151" s="5" t="str">
        <f>CONCATENATE("")</f>
        <v/>
      </c>
      <c r="L151" s="5" t="str">
        <f>CONCATENATE("12 12.1 4a")</f>
        <v>12 12.1 4a</v>
      </c>
      <c r="M151" s="5" t="str">
        <f>CONCATENATE("CRDFLD62T54F632K")</f>
        <v>CRDFLD62T54F632K</v>
      </c>
      <c r="N151" s="5" t="s">
        <v>240</v>
      </c>
      <c r="O151" s="5" t="s">
        <v>241</v>
      </c>
      <c r="P151" s="6">
        <v>43927</v>
      </c>
      <c r="Q151" s="5" t="s">
        <v>31</v>
      </c>
      <c r="R151" s="5" t="s">
        <v>32</v>
      </c>
      <c r="S151" s="5" t="s">
        <v>33</v>
      </c>
      <c r="T151" s="5"/>
      <c r="U151" s="5">
        <v>237.71</v>
      </c>
      <c r="V151" s="5">
        <v>102.5</v>
      </c>
      <c r="W151" s="5">
        <v>94.66</v>
      </c>
      <c r="X151" s="5">
        <v>0</v>
      </c>
      <c r="Y151" s="5">
        <v>40.549999999999997</v>
      </c>
    </row>
    <row r="152" spans="1:25" ht="24.75" x14ac:dyDescent="0.25">
      <c r="A152" s="5" t="s">
        <v>26</v>
      </c>
      <c r="B152" s="5" t="s">
        <v>27</v>
      </c>
      <c r="C152" s="5" t="s">
        <v>47</v>
      </c>
      <c r="D152" s="5" t="s">
        <v>48</v>
      </c>
      <c r="E152" s="5" t="s">
        <v>35</v>
      </c>
      <c r="F152" s="5" t="s">
        <v>239</v>
      </c>
      <c r="G152" s="5">
        <v>2019</v>
      </c>
      <c r="H152" s="5" t="str">
        <f>CONCATENATE("94210532522")</f>
        <v>94210532522</v>
      </c>
      <c r="I152" s="5" t="s">
        <v>29</v>
      </c>
      <c r="J152" s="5" t="s">
        <v>36</v>
      </c>
      <c r="K152" s="5" t="str">
        <f>CONCATENATE("")</f>
        <v/>
      </c>
      <c r="L152" s="5" t="str">
        <f>CONCATENATE("12 12.1 4a")</f>
        <v>12 12.1 4a</v>
      </c>
      <c r="M152" s="5" t="str">
        <f>CONCATENATE("LVRFBA57T06A092Y")</f>
        <v>LVRFBA57T06A092Y</v>
      </c>
      <c r="N152" s="5" t="s">
        <v>242</v>
      </c>
      <c r="O152" s="5" t="s">
        <v>241</v>
      </c>
      <c r="P152" s="6">
        <v>43927</v>
      </c>
      <c r="Q152" s="5" t="s">
        <v>31</v>
      </c>
      <c r="R152" s="5" t="s">
        <v>32</v>
      </c>
      <c r="S152" s="5" t="s">
        <v>33</v>
      </c>
      <c r="T152" s="5"/>
      <c r="U152" s="5">
        <v>564.55999999999995</v>
      </c>
      <c r="V152" s="5">
        <v>243.44</v>
      </c>
      <c r="W152" s="5">
        <v>224.81</v>
      </c>
      <c r="X152" s="5">
        <v>0</v>
      </c>
      <c r="Y152" s="5">
        <v>96.31</v>
      </c>
    </row>
    <row r="153" spans="1:25" ht="24.75" x14ac:dyDescent="0.25">
      <c r="A153" s="5" t="s">
        <v>26</v>
      </c>
      <c r="B153" s="5" t="s">
        <v>27</v>
      </c>
      <c r="C153" s="5" t="s">
        <v>47</v>
      </c>
      <c r="D153" s="5" t="s">
        <v>48</v>
      </c>
      <c r="E153" s="5" t="s">
        <v>35</v>
      </c>
      <c r="F153" s="5" t="s">
        <v>239</v>
      </c>
      <c r="G153" s="5">
        <v>2019</v>
      </c>
      <c r="H153" s="5" t="str">
        <f>CONCATENATE("94210588474")</f>
        <v>94210588474</v>
      </c>
      <c r="I153" s="5" t="s">
        <v>29</v>
      </c>
      <c r="J153" s="5" t="s">
        <v>36</v>
      </c>
      <c r="K153" s="5" t="str">
        <f>CONCATENATE("")</f>
        <v/>
      </c>
      <c r="L153" s="5" t="str">
        <f>CONCATENATE("12 12.1 4a")</f>
        <v>12 12.1 4a</v>
      </c>
      <c r="M153" s="5" t="str">
        <f>CONCATENATE("02510910421")</f>
        <v>02510910421</v>
      </c>
      <c r="N153" s="5" t="s">
        <v>243</v>
      </c>
      <c r="O153" s="5" t="s">
        <v>241</v>
      </c>
      <c r="P153" s="6">
        <v>43927</v>
      </c>
      <c r="Q153" s="5" t="s">
        <v>31</v>
      </c>
      <c r="R153" s="5" t="s">
        <v>32</v>
      </c>
      <c r="S153" s="5" t="s">
        <v>33</v>
      </c>
      <c r="T153" s="5"/>
      <c r="U153" s="5">
        <v>553.20000000000005</v>
      </c>
      <c r="V153" s="5">
        <v>238.54</v>
      </c>
      <c r="W153" s="5">
        <v>220.28</v>
      </c>
      <c r="X153" s="5">
        <v>0</v>
      </c>
      <c r="Y153" s="5">
        <v>94.38</v>
      </c>
    </row>
    <row r="154" spans="1:25" ht="24.75" x14ac:dyDescent="0.25">
      <c r="A154" s="5" t="s">
        <v>26</v>
      </c>
      <c r="B154" s="5" t="s">
        <v>27</v>
      </c>
      <c r="C154" s="5" t="s">
        <v>47</v>
      </c>
      <c r="D154" s="5" t="s">
        <v>48</v>
      </c>
      <c r="E154" s="5" t="s">
        <v>28</v>
      </c>
      <c r="F154" s="5" t="s">
        <v>110</v>
      </c>
      <c r="G154" s="5">
        <v>2019</v>
      </c>
      <c r="H154" s="5" t="str">
        <f>CONCATENATE("94210256866")</f>
        <v>94210256866</v>
      </c>
      <c r="I154" s="5" t="s">
        <v>29</v>
      </c>
      <c r="J154" s="5" t="s">
        <v>36</v>
      </c>
      <c r="K154" s="5" t="str">
        <f>CONCATENATE("")</f>
        <v/>
      </c>
      <c r="L154" s="5" t="str">
        <f>CONCATENATE("12 12.1 4a")</f>
        <v>12 12.1 4a</v>
      </c>
      <c r="M154" s="5" t="str">
        <f>CONCATENATE("FTTPLA53A70A271Y")</f>
        <v>FTTPLA53A70A271Y</v>
      </c>
      <c r="N154" s="5" t="s">
        <v>244</v>
      </c>
      <c r="O154" s="5" t="s">
        <v>241</v>
      </c>
      <c r="P154" s="6">
        <v>43927</v>
      </c>
      <c r="Q154" s="5" t="s">
        <v>31</v>
      </c>
      <c r="R154" s="5" t="s">
        <v>32</v>
      </c>
      <c r="S154" s="5" t="s">
        <v>33</v>
      </c>
      <c r="T154" s="5"/>
      <c r="U154" s="5">
        <v>99.91</v>
      </c>
      <c r="V154" s="5">
        <v>43.08</v>
      </c>
      <c r="W154" s="5">
        <v>39.78</v>
      </c>
      <c r="X154" s="5">
        <v>0</v>
      </c>
      <c r="Y154" s="5">
        <v>17.05</v>
      </c>
    </row>
    <row r="155" spans="1:25" ht="24.75" x14ac:dyDescent="0.25">
      <c r="A155" s="5" t="s">
        <v>26</v>
      </c>
      <c r="B155" s="5" t="s">
        <v>27</v>
      </c>
      <c r="C155" s="5" t="s">
        <v>47</v>
      </c>
      <c r="D155" s="5" t="s">
        <v>48</v>
      </c>
      <c r="E155" s="5" t="s">
        <v>35</v>
      </c>
      <c r="F155" s="5" t="s">
        <v>239</v>
      </c>
      <c r="G155" s="5">
        <v>2019</v>
      </c>
      <c r="H155" s="5" t="str">
        <f>CONCATENATE("94210634294")</f>
        <v>94210634294</v>
      </c>
      <c r="I155" s="5" t="s">
        <v>29</v>
      </c>
      <c r="J155" s="5" t="s">
        <v>36</v>
      </c>
      <c r="K155" s="5" t="str">
        <f>CONCATENATE("")</f>
        <v/>
      </c>
      <c r="L155" s="5" t="str">
        <f>CONCATENATE("12 12.1 4a")</f>
        <v>12 12.1 4a</v>
      </c>
      <c r="M155" s="5" t="str">
        <f>CONCATENATE("00758850424")</f>
        <v>00758850424</v>
      </c>
      <c r="N155" s="5" t="s">
        <v>245</v>
      </c>
      <c r="O155" s="5" t="s">
        <v>241</v>
      </c>
      <c r="P155" s="6">
        <v>43927</v>
      </c>
      <c r="Q155" s="5" t="s">
        <v>31</v>
      </c>
      <c r="R155" s="5" t="s">
        <v>32</v>
      </c>
      <c r="S155" s="5" t="s">
        <v>33</v>
      </c>
      <c r="T155" s="5"/>
      <c r="U155" s="7">
        <v>1370.74</v>
      </c>
      <c r="V155" s="5">
        <v>591.05999999999995</v>
      </c>
      <c r="W155" s="5">
        <v>545.83000000000004</v>
      </c>
      <c r="X155" s="5">
        <v>0</v>
      </c>
      <c r="Y155" s="5">
        <v>233.85</v>
      </c>
    </row>
    <row r="156" spans="1:25" ht="24.75" x14ac:dyDescent="0.25">
      <c r="A156" s="5" t="s">
        <v>26</v>
      </c>
      <c r="B156" s="5" t="s">
        <v>27</v>
      </c>
      <c r="C156" s="5" t="s">
        <v>47</v>
      </c>
      <c r="D156" s="5" t="s">
        <v>48</v>
      </c>
      <c r="E156" s="5" t="s">
        <v>28</v>
      </c>
      <c r="F156" s="5" t="s">
        <v>110</v>
      </c>
      <c r="G156" s="5">
        <v>2019</v>
      </c>
      <c r="H156" s="5" t="str">
        <f>CONCATENATE("94210383843")</f>
        <v>94210383843</v>
      </c>
      <c r="I156" s="5" t="s">
        <v>29</v>
      </c>
      <c r="J156" s="5" t="s">
        <v>36</v>
      </c>
      <c r="K156" s="5" t="str">
        <f>CONCATENATE("")</f>
        <v/>
      </c>
      <c r="L156" s="5" t="str">
        <f>CONCATENATE("12 12.1 4a")</f>
        <v>12 12.1 4a</v>
      </c>
      <c r="M156" s="5" t="str">
        <f>CONCATENATE("PCCSVN64E24E388Y")</f>
        <v>PCCSVN64E24E388Y</v>
      </c>
      <c r="N156" s="5" t="s">
        <v>246</v>
      </c>
      <c r="O156" s="5" t="s">
        <v>241</v>
      </c>
      <c r="P156" s="6">
        <v>43927</v>
      </c>
      <c r="Q156" s="5" t="s">
        <v>31</v>
      </c>
      <c r="R156" s="5" t="s">
        <v>32</v>
      </c>
      <c r="S156" s="5" t="s">
        <v>33</v>
      </c>
      <c r="T156" s="5"/>
      <c r="U156" s="5">
        <v>50.28</v>
      </c>
      <c r="V156" s="5">
        <v>21.68</v>
      </c>
      <c r="W156" s="5">
        <v>20.02</v>
      </c>
      <c r="X156" s="5">
        <v>0</v>
      </c>
      <c r="Y156" s="5">
        <v>8.58</v>
      </c>
    </row>
    <row r="157" spans="1:25" ht="24.75" x14ac:dyDescent="0.25">
      <c r="A157" s="5" t="s">
        <v>26</v>
      </c>
      <c r="B157" s="5" t="s">
        <v>27</v>
      </c>
      <c r="C157" s="5" t="s">
        <v>47</v>
      </c>
      <c r="D157" s="5" t="s">
        <v>164</v>
      </c>
      <c r="E157" s="5" t="s">
        <v>42</v>
      </c>
      <c r="F157" s="5" t="s">
        <v>247</v>
      </c>
      <c r="G157" s="5">
        <v>2019</v>
      </c>
      <c r="H157" s="5" t="str">
        <f>CONCATENATE("94211405298")</f>
        <v>94211405298</v>
      </c>
      <c r="I157" s="5" t="s">
        <v>29</v>
      </c>
      <c r="J157" s="5" t="s">
        <v>36</v>
      </c>
      <c r="K157" s="5" t="str">
        <f>CONCATENATE("")</f>
        <v/>
      </c>
      <c r="L157" s="5" t="str">
        <f>CONCATENATE("12 12.1 4a")</f>
        <v>12 12.1 4a</v>
      </c>
      <c r="M157" s="5" t="str">
        <f>CONCATENATE("01815530439")</f>
        <v>01815530439</v>
      </c>
      <c r="N157" s="5" t="s">
        <v>248</v>
      </c>
      <c r="O157" s="5" t="s">
        <v>241</v>
      </c>
      <c r="P157" s="6">
        <v>43927</v>
      </c>
      <c r="Q157" s="5" t="s">
        <v>31</v>
      </c>
      <c r="R157" s="5" t="s">
        <v>32</v>
      </c>
      <c r="S157" s="5" t="s">
        <v>33</v>
      </c>
      <c r="T157" s="5"/>
      <c r="U157" s="7">
        <v>1676.57</v>
      </c>
      <c r="V157" s="5">
        <v>722.94</v>
      </c>
      <c r="W157" s="5">
        <v>667.61</v>
      </c>
      <c r="X157" s="5">
        <v>0</v>
      </c>
      <c r="Y157" s="5">
        <v>286.02</v>
      </c>
    </row>
    <row r="158" spans="1:25" x14ac:dyDescent="0.25">
      <c r="A158" s="5" t="s">
        <v>26</v>
      </c>
      <c r="B158" s="5" t="s">
        <v>27</v>
      </c>
      <c r="C158" s="5" t="s">
        <v>47</v>
      </c>
      <c r="D158" s="5" t="s">
        <v>164</v>
      </c>
      <c r="E158" s="5" t="s">
        <v>35</v>
      </c>
      <c r="F158" s="5" t="s">
        <v>249</v>
      </c>
      <c r="G158" s="5">
        <v>2019</v>
      </c>
      <c r="H158" s="5" t="str">
        <f>CONCATENATE("94210585132")</f>
        <v>94210585132</v>
      </c>
      <c r="I158" s="5" t="s">
        <v>29</v>
      </c>
      <c r="J158" s="5" t="s">
        <v>36</v>
      </c>
      <c r="K158" s="5" t="str">
        <f>CONCATENATE("")</f>
        <v/>
      </c>
      <c r="L158" s="5" t="str">
        <f>CONCATENATE("12 12.1 4a")</f>
        <v>12 12.1 4a</v>
      </c>
      <c r="M158" s="5" t="str">
        <f>CONCATENATE("CCRVNI66D53E783K")</f>
        <v>CCRVNI66D53E783K</v>
      </c>
      <c r="N158" s="5" t="s">
        <v>250</v>
      </c>
      <c r="O158" s="5" t="s">
        <v>251</v>
      </c>
      <c r="P158" s="6">
        <v>43929</v>
      </c>
      <c r="Q158" s="5" t="s">
        <v>31</v>
      </c>
      <c r="R158" s="5" t="s">
        <v>32</v>
      </c>
      <c r="S158" s="5" t="s">
        <v>33</v>
      </c>
      <c r="T158" s="5"/>
      <c r="U158" s="7">
        <v>1349</v>
      </c>
      <c r="V158" s="5">
        <v>581.69000000000005</v>
      </c>
      <c r="W158" s="5">
        <v>537.16999999999996</v>
      </c>
      <c r="X158" s="5">
        <v>0</v>
      </c>
      <c r="Y158" s="5">
        <v>230.14</v>
      </c>
    </row>
    <row r="159" spans="1:25" x14ac:dyDescent="0.25">
      <c r="A159" s="5" t="s">
        <v>26</v>
      </c>
      <c r="B159" s="5" t="s">
        <v>27</v>
      </c>
      <c r="C159" s="5" t="s">
        <v>47</v>
      </c>
      <c r="D159" s="5" t="s">
        <v>164</v>
      </c>
      <c r="E159" s="5" t="s">
        <v>35</v>
      </c>
      <c r="F159" s="5" t="s">
        <v>249</v>
      </c>
      <c r="G159" s="5">
        <v>2019</v>
      </c>
      <c r="H159" s="5" t="str">
        <f>CONCATENATE("94210594902")</f>
        <v>94210594902</v>
      </c>
      <c r="I159" s="5" t="s">
        <v>29</v>
      </c>
      <c r="J159" s="5" t="s">
        <v>36</v>
      </c>
      <c r="K159" s="5" t="str">
        <f>CONCATENATE("")</f>
        <v/>
      </c>
      <c r="L159" s="5" t="str">
        <f>CONCATENATE("12 12.1 4a")</f>
        <v>12 12.1 4a</v>
      </c>
      <c r="M159" s="5" t="str">
        <f>CONCATENATE("RCTMRA51R07L191Z")</f>
        <v>RCTMRA51R07L191Z</v>
      </c>
      <c r="N159" s="5" t="s">
        <v>252</v>
      </c>
      <c r="O159" s="5" t="s">
        <v>251</v>
      </c>
      <c r="P159" s="6">
        <v>43929</v>
      </c>
      <c r="Q159" s="5" t="s">
        <v>31</v>
      </c>
      <c r="R159" s="5" t="s">
        <v>32</v>
      </c>
      <c r="S159" s="5" t="s">
        <v>33</v>
      </c>
      <c r="T159" s="5"/>
      <c r="U159" s="5">
        <v>795.34</v>
      </c>
      <c r="V159" s="5">
        <v>342.95</v>
      </c>
      <c r="W159" s="5">
        <v>316.7</v>
      </c>
      <c r="X159" s="5">
        <v>0</v>
      </c>
      <c r="Y159" s="5">
        <v>135.69</v>
      </c>
    </row>
    <row r="160" spans="1:25" ht="24.75" x14ac:dyDescent="0.25">
      <c r="A160" s="5" t="s">
        <v>26</v>
      </c>
      <c r="B160" s="5" t="s">
        <v>27</v>
      </c>
      <c r="C160" s="5" t="s">
        <v>47</v>
      </c>
      <c r="D160" s="5" t="s">
        <v>164</v>
      </c>
      <c r="E160" s="5" t="s">
        <v>35</v>
      </c>
      <c r="F160" s="5" t="s">
        <v>249</v>
      </c>
      <c r="G160" s="5">
        <v>2019</v>
      </c>
      <c r="H160" s="5" t="str">
        <f>CONCATENATE("94210470517")</f>
        <v>94210470517</v>
      </c>
      <c r="I160" s="5" t="s">
        <v>29</v>
      </c>
      <c r="J160" s="5" t="s">
        <v>36</v>
      </c>
      <c r="K160" s="5" t="str">
        <f>CONCATENATE("")</f>
        <v/>
      </c>
      <c r="L160" s="5" t="str">
        <f>CONCATENATE("12 12.1 4a")</f>
        <v>12 12.1 4a</v>
      </c>
      <c r="M160" s="5" t="str">
        <f>CONCATENATE("RMDMRA66M03L501N")</f>
        <v>RMDMRA66M03L501N</v>
      </c>
      <c r="N160" s="5" t="s">
        <v>253</v>
      </c>
      <c r="O160" s="5" t="s">
        <v>251</v>
      </c>
      <c r="P160" s="6">
        <v>43929</v>
      </c>
      <c r="Q160" s="5" t="s">
        <v>31</v>
      </c>
      <c r="R160" s="5" t="s">
        <v>32</v>
      </c>
      <c r="S160" s="5" t="s">
        <v>33</v>
      </c>
      <c r="T160" s="5"/>
      <c r="U160" s="7">
        <v>2680.47</v>
      </c>
      <c r="V160" s="7">
        <v>1155.82</v>
      </c>
      <c r="W160" s="7">
        <v>1067.3599999999999</v>
      </c>
      <c r="X160" s="5">
        <v>0</v>
      </c>
      <c r="Y160" s="5">
        <v>457.29</v>
      </c>
    </row>
    <row r="161" spans="1:25" ht="24.75" x14ac:dyDescent="0.25">
      <c r="A161" s="5" t="s">
        <v>26</v>
      </c>
      <c r="B161" s="5" t="s">
        <v>27</v>
      </c>
      <c r="C161" s="5" t="s">
        <v>47</v>
      </c>
      <c r="D161" s="5" t="s">
        <v>102</v>
      </c>
      <c r="E161" s="5" t="s">
        <v>35</v>
      </c>
      <c r="F161" s="5" t="s">
        <v>195</v>
      </c>
      <c r="G161" s="5">
        <v>2019</v>
      </c>
      <c r="H161" s="5" t="str">
        <f>CONCATENATE("94210812353")</f>
        <v>94210812353</v>
      </c>
      <c r="I161" s="5" t="s">
        <v>29</v>
      </c>
      <c r="J161" s="5" t="s">
        <v>36</v>
      </c>
      <c r="K161" s="5" t="str">
        <f>CONCATENATE("")</f>
        <v/>
      </c>
      <c r="L161" s="5" t="str">
        <f>CONCATENATE("13 13.1 4a")</f>
        <v>13 13.1 4a</v>
      </c>
      <c r="M161" s="5" t="str">
        <f>CONCATENATE("01526080443")</f>
        <v>01526080443</v>
      </c>
      <c r="N161" s="5" t="s">
        <v>254</v>
      </c>
      <c r="O161" s="5" t="s">
        <v>174</v>
      </c>
      <c r="P161" s="6">
        <v>43927</v>
      </c>
      <c r="Q161" s="5" t="s">
        <v>31</v>
      </c>
      <c r="R161" s="5" t="s">
        <v>32</v>
      </c>
      <c r="S161" s="5" t="s">
        <v>33</v>
      </c>
      <c r="T161" s="5"/>
      <c r="U161" s="7">
        <v>7075.67</v>
      </c>
      <c r="V161" s="7">
        <v>3051.03</v>
      </c>
      <c r="W161" s="7">
        <v>2817.53</v>
      </c>
      <c r="X161" s="5">
        <v>0</v>
      </c>
      <c r="Y161" s="7">
        <v>1207.1099999999999</v>
      </c>
    </row>
    <row r="162" spans="1:25" ht="24.75" x14ac:dyDescent="0.25">
      <c r="A162" s="5" t="s">
        <v>26</v>
      </c>
      <c r="B162" s="5" t="s">
        <v>27</v>
      </c>
      <c r="C162" s="5" t="s">
        <v>47</v>
      </c>
      <c r="D162" s="5" t="s">
        <v>52</v>
      </c>
      <c r="E162" s="5" t="s">
        <v>28</v>
      </c>
      <c r="F162" s="5" t="s">
        <v>77</v>
      </c>
      <c r="G162" s="5">
        <v>2019</v>
      </c>
      <c r="H162" s="5" t="str">
        <f>CONCATENATE("94211405728")</f>
        <v>94211405728</v>
      </c>
      <c r="I162" s="5" t="s">
        <v>29</v>
      </c>
      <c r="J162" s="5" t="s">
        <v>36</v>
      </c>
      <c r="K162" s="5" t="str">
        <f>CONCATENATE("")</f>
        <v/>
      </c>
      <c r="L162" s="5" t="str">
        <f>CONCATENATE("13 13.1 4a")</f>
        <v>13 13.1 4a</v>
      </c>
      <c r="M162" s="5" t="str">
        <f>CONCATENATE("NBLFNC40P16H886Z")</f>
        <v>NBLFNC40P16H886Z</v>
      </c>
      <c r="N162" s="5" t="s">
        <v>255</v>
      </c>
      <c r="O162" s="5" t="s">
        <v>174</v>
      </c>
      <c r="P162" s="6">
        <v>43927</v>
      </c>
      <c r="Q162" s="5" t="s">
        <v>31</v>
      </c>
      <c r="R162" s="5" t="s">
        <v>32</v>
      </c>
      <c r="S162" s="5" t="s">
        <v>33</v>
      </c>
      <c r="T162" s="5"/>
      <c r="U162" s="5">
        <v>970.04</v>
      </c>
      <c r="V162" s="5">
        <v>418.28</v>
      </c>
      <c r="W162" s="5">
        <v>386.27</v>
      </c>
      <c r="X162" s="5">
        <v>0</v>
      </c>
      <c r="Y162" s="5">
        <v>165.49</v>
      </c>
    </row>
    <row r="163" spans="1:25" ht="24.75" x14ac:dyDescent="0.25">
      <c r="A163" s="5" t="s">
        <v>26</v>
      </c>
      <c r="B163" s="5" t="s">
        <v>27</v>
      </c>
      <c r="C163" s="5" t="s">
        <v>47</v>
      </c>
      <c r="D163" s="5" t="s">
        <v>52</v>
      </c>
      <c r="E163" s="5" t="s">
        <v>28</v>
      </c>
      <c r="F163" s="5" t="s">
        <v>98</v>
      </c>
      <c r="G163" s="5">
        <v>2019</v>
      </c>
      <c r="H163" s="5" t="str">
        <f>CONCATENATE("94210209865")</f>
        <v>94210209865</v>
      </c>
      <c r="I163" s="5" t="s">
        <v>29</v>
      </c>
      <c r="J163" s="5" t="s">
        <v>36</v>
      </c>
      <c r="K163" s="5" t="str">
        <f>CONCATENATE("")</f>
        <v/>
      </c>
      <c r="L163" s="5" t="str">
        <f>CONCATENATE("13 13.1 4a")</f>
        <v>13 13.1 4a</v>
      </c>
      <c r="M163" s="5" t="str">
        <f>CONCATENATE("BLPMRZ53H08I459Y")</f>
        <v>BLPMRZ53H08I459Y</v>
      </c>
      <c r="N163" s="5" t="s">
        <v>256</v>
      </c>
      <c r="O163" s="5" t="s">
        <v>174</v>
      </c>
      <c r="P163" s="6">
        <v>43927</v>
      </c>
      <c r="Q163" s="5" t="s">
        <v>31</v>
      </c>
      <c r="R163" s="5" t="s">
        <v>32</v>
      </c>
      <c r="S163" s="5" t="s">
        <v>33</v>
      </c>
      <c r="T163" s="5"/>
      <c r="U163" s="7">
        <v>3954.97</v>
      </c>
      <c r="V163" s="7">
        <v>1705.38</v>
      </c>
      <c r="W163" s="7">
        <v>1574.87</v>
      </c>
      <c r="X163" s="5">
        <v>0</v>
      </c>
      <c r="Y163" s="5">
        <v>674.72</v>
      </c>
    </row>
    <row r="164" spans="1:25" ht="24.75" x14ac:dyDescent="0.25">
      <c r="A164" s="5" t="s">
        <v>26</v>
      </c>
      <c r="B164" s="5" t="s">
        <v>27</v>
      </c>
      <c r="C164" s="5" t="s">
        <v>47</v>
      </c>
      <c r="D164" s="5" t="s">
        <v>52</v>
      </c>
      <c r="E164" s="5" t="s">
        <v>28</v>
      </c>
      <c r="F164" s="5" t="s">
        <v>60</v>
      </c>
      <c r="G164" s="5">
        <v>2019</v>
      </c>
      <c r="H164" s="5" t="str">
        <f>CONCATENATE("94210015379")</f>
        <v>94210015379</v>
      </c>
      <c r="I164" s="5" t="s">
        <v>29</v>
      </c>
      <c r="J164" s="5" t="s">
        <v>36</v>
      </c>
      <c r="K164" s="5" t="str">
        <f>CONCATENATE("")</f>
        <v/>
      </c>
      <c r="L164" s="5" t="str">
        <f>CONCATENATE("13 13.1 4a")</f>
        <v>13 13.1 4a</v>
      </c>
      <c r="M164" s="5" t="str">
        <f>CONCATENATE("BLLSVN44L44L500H")</f>
        <v>BLLSVN44L44L500H</v>
      </c>
      <c r="N164" s="5" t="s">
        <v>257</v>
      </c>
      <c r="O164" s="5" t="s">
        <v>174</v>
      </c>
      <c r="P164" s="6">
        <v>43927</v>
      </c>
      <c r="Q164" s="5" t="s">
        <v>31</v>
      </c>
      <c r="R164" s="5" t="s">
        <v>32</v>
      </c>
      <c r="S164" s="5" t="s">
        <v>33</v>
      </c>
      <c r="T164" s="5"/>
      <c r="U164" s="5">
        <v>833.12</v>
      </c>
      <c r="V164" s="5">
        <v>359.24</v>
      </c>
      <c r="W164" s="5">
        <v>331.75</v>
      </c>
      <c r="X164" s="5">
        <v>0</v>
      </c>
      <c r="Y164" s="5">
        <v>142.13</v>
      </c>
    </row>
    <row r="165" spans="1:25" ht="24.75" x14ac:dyDescent="0.25">
      <c r="A165" s="5" t="s">
        <v>26</v>
      </c>
      <c r="B165" s="5" t="s">
        <v>27</v>
      </c>
      <c r="C165" s="5" t="s">
        <v>47</v>
      </c>
      <c r="D165" s="5" t="s">
        <v>52</v>
      </c>
      <c r="E165" s="5" t="s">
        <v>28</v>
      </c>
      <c r="F165" s="5" t="s">
        <v>258</v>
      </c>
      <c r="G165" s="5">
        <v>2018</v>
      </c>
      <c r="H165" s="5" t="str">
        <f>CONCATENATE("84210730085")</f>
        <v>84210730085</v>
      </c>
      <c r="I165" s="5" t="s">
        <v>29</v>
      </c>
      <c r="J165" s="5" t="s">
        <v>36</v>
      </c>
      <c r="K165" s="5" t="str">
        <f>CONCATENATE("")</f>
        <v/>
      </c>
      <c r="L165" s="5" t="str">
        <f>CONCATENATE("13 13.1 4a")</f>
        <v>13 13.1 4a</v>
      </c>
      <c r="M165" s="5" t="str">
        <f>CONCATENATE("MCCCRD41C25L498M")</f>
        <v>MCCCRD41C25L498M</v>
      </c>
      <c r="N165" s="5" t="s">
        <v>259</v>
      </c>
      <c r="O165" s="5" t="s">
        <v>174</v>
      </c>
      <c r="P165" s="6">
        <v>43927</v>
      </c>
      <c r="Q165" s="5" t="s">
        <v>31</v>
      </c>
      <c r="R165" s="5" t="s">
        <v>32</v>
      </c>
      <c r="S165" s="5" t="s">
        <v>33</v>
      </c>
      <c r="T165" s="5"/>
      <c r="U165" s="5">
        <v>684.02</v>
      </c>
      <c r="V165" s="5">
        <v>294.95</v>
      </c>
      <c r="W165" s="5">
        <v>272.38</v>
      </c>
      <c r="X165" s="5">
        <v>0</v>
      </c>
      <c r="Y165" s="5">
        <v>116.69</v>
      </c>
    </row>
    <row r="166" spans="1:25" ht="24.75" x14ac:dyDescent="0.25">
      <c r="A166" s="5" t="s">
        <v>26</v>
      </c>
      <c r="B166" s="5" t="s">
        <v>27</v>
      </c>
      <c r="C166" s="5" t="s">
        <v>47</v>
      </c>
      <c r="D166" s="5" t="s">
        <v>52</v>
      </c>
      <c r="E166" s="5" t="s">
        <v>35</v>
      </c>
      <c r="F166" s="5" t="s">
        <v>145</v>
      </c>
      <c r="G166" s="5">
        <v>2018</v>
      </c>
      <c r="H166" s="5" t="str">
        <f>CONCATENATE("84210424903")</f>
        <v>84210424903</v>
      </c>
      <c r="I166" s="5" t="s">
        <v>43</v>
      </c>
      <c r="J166" s="5" t="s">
        <v>36</v>
      </c>
      <c r="K166" s="5" t="str">
        <f>CONCATENATE("")</f>
        <v/>
      </c>
      <c r="L166" s="5" t="str">
        <f>CONCATENATE("13 13.1 4a")</f>
        <v>13 13.1 4a</v>
      </c>
      <c r="M166" s="5" t="str">
        <f>CONCATENATE("MRTLVE49D16G453M")</f>
        <v>MRTLVE49D16G453M</v>
      </c>
      <c r="N166" s="5" t="s">
        <v>260</v>
      </c>
      <c r="O166" s="5" t="s">
        <v>174</v>
      </c>
      <c r="P166" s="6">
        <v>43927</v>
      </c>
      <c r="Q166" s="5" t="s">
        <v>31</v>
      </c>
      <c r="R166" s="5" t="s">
        <v>32</v>
      </c>
      <c r="S166" s="5" t="s">
        <v>33</v>
      </c>
      <c r="T166" s="5"/>
      <c r="U166" s="5">
        <v>208.89</v>
      </c>
      <c r="V166" s="5">
        <v>90.07</v>
      </c>
      <c r="W166" s="5">
        <v>83.18</v>
      </c>
      <c r="X166" s="5">
        <v>0</v>
      </c>
      <c r="Y166" s="5">
        <v>35.64</v>
      </c>
    </row>
    <row r="167" spans="1:25" ht="24.75" x14ac:dyDescent="0.25">
      <c r="A167" s="5" t="s">
        <v>26</v>
      </c>
      <c r="B167" s="5" t="s">
        <v>27</v>
      </c>
      <c r="C167" s="5" t="s">
        <v>47</v>
      </c>
      <c r="D167" s="5" t="s">
        <v>52</v>
      </c>
      <c r="E167" s="5" t="s">
        <v>46</v>
      </c>
      <c r="F167" s="5" t="s">
        <v>93</v>
      </c>
      <c r="G167" s="5">
        <v>2018</v>
      </c>
      <c r="H167" s="5" t="str">
        <f>CONCATENATE("84210224600")</f>
        <v>84210224600</v>
      </c>
      <c r="I167" s="5" t="s">
        <v>29</v>
      </c>
      <c r="J167" s="5" t="s">
        <v>36</v>
      </c>
      <c r="K167" s="5" t="str">
        <f>CONCATENATE("")</f>
        <v/>
      </c>
      <c r="L167" s="5" t="str">
        <f>CONCATENATE("13 13.1 4a")</f>
        <v>13 13.1 4a</v>
      </c>
      <c r="M167" s="5" t="str">
        <f>CONCATENATE("MNDCHR58M44F137V")</f>
        <v>MNDCHR58M44F137V</v>
      </c>
      <c r="N167" s="5" t="s">
        <v>261</v>
      </c>
      <c r="O167" s="5" t="s">
        <v>174</v>
      </c>
      <c r="P167" s="6">
        <v>43927</v>
      </c>
      <c r="Q167" s="5" t="s">
        <v>31</v>
      </c>
      <c r="R167" s="5" t="s">
        <v>32</v>
      </c>
      <c r="S167" s="5" t="s">
        <v>33</v>
      </c>
      <c r="T167" s="5"/>
      <c r="U167" s="7">
        <v>1350</v>
      </c>
      <c r="V167" s="5">
        <v>582.12</v>
      </c>
      <c r="W167" s="5">
        <v>537.57000000000005</v>
      </c>
      <c r="X167" s="5">
        <v>0</v>
      </c>
      <c r="Y167" s="5">
        <v>230.31</v>
      </c>
    </row>
    <row r="168" spans="1:25" ht="24.75" x14ac:dyDescent="0.25">
      <c r="A168" s="5" t="s">
        <v>26</v>
      </c>
      <c r="B168" s="5" t="s">
        <v>27</v>
      </c>
      <c r="C168" s="5" t="s">
        <v>47</v>
      </c>
      <c r="D168" s="5" t="s">
        <v>52</v>
      </c>
      <c r="E168" s="5" t="s">
        <v>28</v>
      </c>
      <c r="F168" s="5" t="s">
        <v>98</v>
      </c>
      <c r="G168" s="5">
        <v>2019</v>
      </c>
      <c r="H168" s="5" t="str">
        <f>CONCATENATE("94210425644")</f>
        <v>94210425644</v>
      </c>
      <c r="I168" s="5" t="s">
        <v>29</v>
      </c>
      <c r="J168" s="5" t="s">
        <v>36</v>
      </c>
      <c r="K168" s="5" t="str">
        <f>CONCATENATE("")</f>
        <v/>
      </c>
      <c r="L168" s="5" t="str">
        <f>CONCATENATE("13 13.1 4a")</f>
        <v>13 13.1 4a</v>
      </c>
      <c r="M168" s="5" t="str">
        <f>CONCATENATE("BRRFRZ64E10E785F")</f>
        <v>BRRFRZ64E10E785F</v>
      </c>
      <c r="N168" s="5" t="s">
        <v>262</v>
      </c>
      <c r="O168" s="5" t="s">
        <v>174</v>
      </c>
      <c r="P168" s="6">
        <v>43927</v>
      </c>
      <c r="Q168" s="5" t="s">
        <v>31</v>
      </c>
      <c r="R168" s="5" t="s">
        <v>32</v>
      </c>
      <c r="S168" s="5" t="s">
        <v>33</v>
      </c>
      <c r="T168" s="5"/>
      <c r="U168" s="7">
        <v>4732.7</v>
      </c>
      <c r="V168" s="7">
        <v>2040.74</v>
      </c>
      <c r="W168" s="7">
        <v>1884.56</v>
      </c>
      <c r="X168" s="5">
        <v>0</v>
      </c>
      <c r="Y168" s="5">
        <v>807.4</v>
      </c>
    </row>
    <row r="169" spans="1:25" x14ac:dyDescent="0.25">
      <c r="A169" s="5" t="s">
        <v>26</v>
      </c>
      <c r="B169" s="5" t="s">
        <v>27</v>
      </c>
      <c r="C169" s="5" t="s">
        <v>47</v>
      </c>
      <c r="D169" s="5" t="s">
        <v>164</v>
      </c>
      <c r="E169" s="5" t="s">
        <v>40</v>
      </c>
      <c r="F169" s="5" t="s">
        <v>227</v>
      </c>
      <c r="G169" s="5">
        <v>2019</v>
      </c>
      <c r="H169" s="5" t="str">
        <f>CONCATENATE("94210271535")</f>
        <v>94210271535</v>
      </c>
      <c r="I169" s="5" t="s">
        <v>29</v>
      </c>
      <c r="J169" s="5" t="s">
        <v>36</v>
      </c>
      <c r="K169" s="5" t="str">
        <f>CONCATENATE("")</f>
        <v/>
      </c>
      <c r="L169" s="5" t="str">
        <f>CONCATENATE("13 13.1 4a")</f>
        <v>13 13.1 4a</v>
      </c>
      <c r="M169" s="5" t="str">
        <f>CONCATENATE("RPNCHR69H53B474C")</f>
        <v>RPNCHR69H53B474C</v>
      </c>
      <c r="N169" s="5" t="s">
        <v>263</v>
      </c>
      <c r="O169" s="5" t="s">
        <v>174</v>
      </c>
      <c r="P169" s="6">
        <v>43927</v>
      </c>
      <c r="Q169" s="5" t="s">
        <v>31</v>
      </c>
      <c r="R169" s="5" t="s">
        <v>32</v>
      </c>
      <c r="S169" s="5" t="s">
        <v>33</v>
      </c>
      <c r="T169" s="5"/>
      <c r="U169" s="7">
        <v>6929.83</v>
      </c>
      <c r="V169" s="7">
        <v>2988.14</v>
      </c>
      <c r="W169" s="7">
        <v>2759.46</v>
      </c>
      <c r="X169" s="5">
        <v>0</v>
      </c>
      <c r="Y169" s="7">
        <v>1182.23</v>
      </c>
    </row>
    <row r="170" spans="1:25" ht="24.75" x14ac:dyDescent="0.25">
      <c r="A170" s="5" t="s">
        <v>26</v>
      </c>
      <c r="B170" s="5" t="s">
        <v>27</v>
      </c>
      <c r="C170" s="5" t="s">
        <v>47</v>
      </c>
      <c r="D170" s="5" t="s">
        <v>52</v>
      </c>
      <c r="E170" s="5" t="s">
        <v>28</v>
      </c>
      <c r="F170" s="5" t="s">
        <v>98</v>
      </c>
      <c r="G170" s="5">
        <v>2019</v>
      </c>
      <c r="H170" s="5" t="str">
        <f>CONCATENATE("94210301456")</f>
        <v>94210301456</v>
      </c>
      <c r="I170" s="5" t="s">
        <v>29</v>
      </c>
      <c r="J170" s="5" t="s">
        <v>36</v>
      </c>
      <c r="K170" s="5" t="str">
        <f>CONCATENATE("")</f>
        <v/>
      </c>
      <c r="L170" s="5" t="str">
        <f>CONCATENATE("13 13.1 4a")</f>
        <v>13 13.1 4a</v>
      </c>
      <c r="M170" s="5" t="str">
        <f>CONCATENATE("DTLNTN86H25I459O")</f>
        <v>DTLNTN86H25I459O</v>
      </c>
      <c r="N170" s="5" t="s">
        <v>264</v>
      </c>
      <c r="O170" s="5" t="s">
        <v>174</v>
      </c>
      <c r="P170" s="6">
        <v>43927</v>
      </c>
      <c r="Q170" s="5" t="s">
        <v>31</v>
      </c>
      <c r="R170" s="5" t="s">
        <v>32</v>
      </c>
      <c r="S170" s="5" t="s">
        <v>33</v>
      </c>
      <c r="T170" s="5"/>
      <c r="U170" s="7">
        <v>6341.97</v>
      </c>
      <c r="V170" s="7">
        <v>2734.66</v>
      </c>
      <c r="W170" s="7">
        <v>2525.37</v>
      </c>
      <c r="X170" s="5">
        <v>0</v>
      </c>
      <c r="Y170" s="7">
        <v>1081.94</v>
      </c>
    </row>
    <row r="171" spans="1:25" ht="24.75" x14ac:dyDescent="0.25">
      <c r="A171" s="5" t="s">
        <v>26</v>
      </c>
      <c r="B171" s="5" t="s">
        <v>27</v>
      </c>
      <c r="C171" s="5" t="s">
        <v>47</v>
      </c>
      <c r="D171" s="5" t="s">
        <v>52</v>
      </c>
      <c r="E171" s="5" t="s">
        <v>35</v>
      </c>
      <c r="F171" s="5" t="s">
        <v>66</v>
      </c>
      <c r="G171" s="5">
        <v>2018</v>
      </c>
      <c r="H171" s="5" t="str">
        <f>CONCATENATE("84211191568")</f>
        <v>84211191568</v>
      </c>
      <c r="I171" s="5" t="s">
        <v>29</v>
      </c>
      <c r="J171" s="5" t="s">
        <v>36</v>
      </c>
      <c r="K171" s="5" t="str">
        <f>CONCATENATE("")</f>
        <v/>
      </c>
      <c r="L171" s="5" t="str">
        <f>CONCATENATE("13 13.1 4a")</f>
        <v>13 13.1 4a</v>
      </c>
      <c r="M171" s="5" t="str">
        <f>CONCATENATE("00414160416")</f>
        <v>00414160416</v>
      </c>
      <c r="N171" s="5" t="s">
        <v>265</v>
      </c>
      <c r="O171" s="5" t="s">
        <v>174</v>
      </c>
      <c r="P171" s="6">
        <v>43927</v>
      </c>
      <c r="Q171" s="5" t="s">
        <v>31</v>
      </c>
      <c r="R171" s="5" t="s">
        <v>32</v>
      </c>
      <c r="S171" s="5" t="s">
        <v>33</v>
      </c>
      <c r="T171" s="5"/>
      <c r="U171" s="7">
        <v>8910</v>
      </c>
      <c r="V171" s="7">
        <v>3841.99</v>
      </c>
      <c r="W171" s="7">
        <v>3547.96</v>
      </c>
      <c r="X171" s="5">
        <v>0</v>
      </c>
      <c r="Y171" s="7">
        <v>1520.05</v>
      </c>
    </row>
    <row r="172" spans="1:25" ht="24.75" x14ac:dyDescent="0.25">
      <c r="A172" s="5" t="s">
        <v>26</v>
      </c>
      <c r="B172" s="5" t="s">
        <v>27</v>
      </c>
      <c r="C172" s="5" t="s">
        <v>47</v>
      </c>
      <c r="D172" s="5" t="s">
        <v>52</v>
      </c>
      <c r="E172" s="5" t="s">
        <v>28</v>
      </c>
      <c r="F172" s="5" t="s">
        <v>79</v>
      </c>
      <c r="G172" s="5">
        <v>2019</v>
      </c>
      <c r="H172" s="5" t="str">
        <f>CONCATENATE("94210242965")</f>
        <v>94210242965</v>
      </c>
      <c r="I172" s="5" t="s">
        <v>29</v>
      </c>
      <c r="J172" s="5" t="s">
        <v>36</v>
      </c>
      <c r="K172" s="5" t="str">
        <f>CONCATENATE("")</f>
        <v/>
      </c>
      <c r="L172" s="5" t="str">
        <f>CONCATENATE("13 13.1 4a")</f>
        <v>13 13.1 4a</v>
      </c>
      <c r="M172" s="5" t="str">
        <f>CONCATENATE("BFRCLD56B05H958C")</f>
        <v>BFRCLD56B05H958C</v>
      </c>
      <c r="N172" s="5" t="s">
        <v>266</v>
      </c>
      <c r="O172" s="5" t="s">
        <v>174</v>
      </c>
      <c r="P172" s="6">
        <v>43927</v>
      </c>
      <c r="Q172" s="5" t="s">
        <v>31</v>
      </c>
      <c r="R172" s="5" t="s">
        <v>32</v>
      </c>
      <c r="S172" s="5" t="s">
        <v>33</v>
      </c>
      <c r="T172" s="5"/>
      <c r="U172" s="7">
        <v>1548.44</v>
      </c>
      <c r="V172" s="5">
        <v>667.69</v>
      </c>
      <c r="W172" s="5">
        <v>616.59</v>
      </c>
      <c r="X172" s="5">
        <v>0</v>
      </c>
      <c r="Y172" s="5">
        <v>264.16000000000003</v>
      </c>
    </row>
    <row r="173" spans="1:25" ht="24.75" x14ac:dyDescent="0.25">
      <c r="A173" s="5" t="s">
        <v>26</v>
      </c>
      <c r="B173" s="5" t="s">
        <v>27</v>
      </c>
      <c r="C173" s="5" t="s">
        <v>47</v>
      </c>
      <c r="D173" s="5" t="s">
        <v>52</v>
      </c>
      <c r="E173" s="5" t="s">
        <v>28</v>
      </c>
      <c r="F173" s="5" t="s">
        <v>98</v>
      </c>
      <c r="G173" s="5">
        <v>2019</v>
      </c>
      <c r="H173" s="5" t="str">
        <f>CONCATENATE("94210301118")</f>
        <v>94210301118</v>
      </c>
      <c r="I173" s="5" t="s">
        <v>29</v>
      </c>
      <c r="J173" s="5" t="s">
        <v>36</v>
      </c>
      <c r="K173" s="5" t="str">
        <f>CONCATENATE("")</f>
        <v/>
      </c>
      <c r="L173" s="5" t="str">
        <f>CONCATENATE("13 13.1 4a")</f>
        <v>13 13.1 4a</v>
      </c>
      <c r="M173" s="5" t="str">
        <f>CONCATENATE("BRTGBR50E50F524H")</f>
        <v>BRTGBR50E50F524H</v>
      </c>
      <c r="N173" s="5" t="s">
        <v>267</v>
      </c>
      <c r="O173" s="5" t="s">
        <v>174</v>
      </c>
      <c r="P173" s="6">
        <v>43927</v>
      </c>
      <c r="Q173" s="5" t="s">
        <v>31</v>
      </c>
      <c r="R173" s="5" t="s">
        <v>32</v>
      </c>
      <c r="S173" s="5" t="s">
        <v>33</v>
      </c>
      <c r="T173" s="5"/>
      <c r="U173" s="7">
        <v>1026.6099999999999</v>
      </c>
      <c r="V173" s="5">
        <v>442.67</v>
      </c>
      <c r="W173" s="5">
        <v>408.8</v>
      </c>
      <c r="X173" s="5">
        <v>0</v>
      </c>
      <c r="Y173" s="5">
        <v>175.14</v>
      </c>
    </row>
    <row r="174" spans="1:25" ht="24.75" x14ac:dyDescent="0.25">
      <c r="A174" s="5" t="s">
        <v>26</v>
      </c>
      <c r="B174" s="5" t="s">
        <v>27</v>
      </c>
      <c r="C174" s="5" t="s">
        <v>47</v>
      </c>
      <c r="D174" s="5" t="s">
        <v>48</v>
      </c>
      <c r="E174" s="5" t="s">
        <v>35</v>
      </c>
      <c r="F174" s="5" t="s">
        <v>154</v>
      </c>
      <c r="G174" s="5">
        <v>2019</v>
      </c>
      <c r="H174" s="5" t="str">
        <f>CONCATENATE("94210489277")</f>
        <v>94210489277</v>
      </c>
      <c r="I174" s="5" t="s">
        <v>29</v>
      </c>
      <c r="J174" s="5" t="s">
        <v>36</v>
      </c>
      <c r="K174" s="5" t="str">
        <f>CONCATENATE("")</f>
        <v/>
      </c>
      <c r="L174" s="5" t="str">
        <f>CONCATENATE("13 13.1 4a")</f>
        <v>13 13.1 4a</v>
      </c>
      <c r="M174" s="5" t="str">
        <f>CONCATENATE("CRNGNI32C69D965E")</f>
        <v>CRNGNI32C69D965E</v>
      </c>
      <c r="N174" s="5" t="s">
        <v>268</v>
      </c>
      <c r="O174" s="5" t="s">
        <v>174</v>
      </c>
      <c r="P174" s="6">
        <v>43927</v>
      </c>
      <c r="Q174" s="5" t="s">
        <v>31</v>
      </c>
      <c r="R174" s="5" t="s">
        <v>32</v>
      </c>
      <c r="S174" s="5" t="s">
        <v>33</v>
      </c>
      <c r="T174" s="5"/>
      <c r="U174" s="7">
        <v>1085.74</v>
      </c>
      <c r="V174" s="5">
        <v>468.17</v>
      </c>
      <c r="W174" s="5">
        <v>432.34</v>
      </c>
      <c r="X174" s="5">
        <v>0</v>
      </c>
      <c r="Y174" s="5">
        <v>185.23</v>
      </c>
    </row>
    <row r="175" spans="1:25" ht="24.75" x14ac:dyDescent="0.25">
      <c r="A175" s="5" t="s">
        <v>26</v>
      </c>
      <c r="B175" s="5" t="s">
        <v>27</v>
      </c>
      <c r="C175" s="5" t="s">
        <v>47</v>
      </c>
      <c r="D175" s="5" t="s">
        <v>52</v>
      </c>
      <c r="E175" s="5" t="s">
        <v>28</v>
      </c>
      <c r="F175" s="5" t="s">
        <v>98</v>
      </c>
      <c r="G175" s="5">
        <v>2019</v>
      </c>
      <c r="H175" s="5" t="str">
        <f>CONCATENATE("94210154418")</f>
        <v>94210154418</v>
      </c>
      <c r="I175" s="5" t="s">
        <v>29</v>
      </c>
      <c r="J175" s="5" t="s">
        <v>36</v>
      </c>
      <c r="K175" s="5" t="str">
        <f>CONCATENATE("")</f>
        <v/>
      </c>
      <c r="L175" s="5" t="str">
        <f>CONCATENATE("13 13.1 4a")</f>
        <v>13 13.1 4a</v>
      </c>
      <c r="M175" s="5" t="str">
        <f>CONCATENATE("FBBNZR33B01F467K")</f>
        <v>FBBNZR33B01F467K</v>
      </c>
      <c r="N175" s="5" t="s">
        <v>269</v>
      </c>
      <c r="O175" s="5" t="s">
        <v>174</v>
      </c>
      <c r="P175" s="6">
        <v>43927</v>
      </c>
      <c r="Q175" s="5" t="s">
        <v>31</v>
      </c>
      <c r="R175" s="5" t="s">
        <v>32</v>
      </c>
      <c r="S175" s="5" t="s">
        <v>33</v>
      </c>
      <c r="T175" s="5"/>
      <c r="U175" s="7">
        <v>2130.4499999999998</v>
      </c>
      <c r="V175" s="5">
        <v>918.65</v>
      </c>
      <c r="W175" s="5">
        <v>848.35</v>
      </c>
      <c r="X175" s="5">
        <v>0</v>
      </c>
      <c r="Y175" s="5">
        <v>363.45</v>
      </c>
    </row>
    <row r="176" spans="1:25" ht="24.75" x14ac:dyDescent="0.25">
      <c r="A176" s="5" t="s">
        <v>26</v>
      </c>
      <c r="B176" s="5" t="s">
        <v>27</v>
      </c>
      <c r="C176" s="5" t="s">
        <v>47</v>
      </c>
      <c r="D176" s="5" t="s">
        <v>48</v>
      </c>
      <c r="E176" s="5" t="s">
        <v>42</v>
      </c>
      <c r="F176" s="5" t="s">
        <v>270</v>
      </c>
      <c r="G176" s="5">
        <v>2019</v>
      </c>
      <c r="H176" s="5" t="str">
        <f>CONCATENATE("94210146687")</f>
        <v>94210146687</v>
      </c>
      <c r="I176" s="5" t="s">
        <v>29</v>
      </c>
      <c r="J176" s="5" t="s">
        <v>36</v>
      </c>
      <c r="K176" s="5" t="str">
        <f>CONCATENATE("")</f>
        <v/>
      </c>
      <c r="L176" s="5" t="str">
        <f>CONCATENATE("13 13.1 4a")</f>
        <v>13 13.1 4a</v>
      </c>
      <c r="M176" s="5" t="str">
        <f>CONCATENATE("FRRRNG41S28D451L")</f>
        <v>FRRRNG41S28D451L</v>
      </c>
      <c r="N176" s="5" t="s">
        <v>271</v>
      </c>
      <c r="O176" s="5" t="s">
        <v>174</v>
      </c>
      <c r="P176" s="6">
        <v>43927</v>
      </c>
      <c r="Q176" s="5" t="s">
        <v>31</v>
      </c>
      <c r="R176" s="5" t="s">
        <v>32</v>
      </c>
      <c r="S176" s="5" t="s">
        <v>33</v>
      </c>
      <c r="T176" s="5"/>
      <c r="U176" s="7">
        <v>9000</v>
      </c>
      <c r="V176" s="7">
        <v>3880.8</v>
      </c>
      <c r="W176" s="7">
        <v>3583.8</v>
      </c>
      <c r="X176" s="5">
        <v>0</v>
      </c>
      <c r="Y176" s="7">
        <v>1535.4</v>
      </c>
    </row>
    <row r="177" spans="1:25" ht="24.75" x14ac:dyDescent="0.25">
      <c r="A177" s="5" t="s">
        <v>26</v>
      </c>
      <c r="B177" s="5" t="s">
        <v>27</v>
      </c>
      <c r="C177" s="5" t="s">
        <v>47</v>
      </c>
      <c r="D177" s="5" t="s">
        <v>52</v>
      </c>
      <c r="E177" s="5" t="s">
        <v>35</v>
      </c>
      <c r="F177" s="5" t="s">
        <v>145</v>
      </c>
      <c r="G177" s="5">
        <v>2018</v>
      </c>
      <c r="H177" s="5" t="str">
        <f>CONCATENATE("84210426262")</f>
        <v>84210426262</v>
      </c>
      <c r="I177" s="5" t="s">
        <v>43</v>
      </c>
      <c r="J177" s="5" t="s">
        <v>36</v>
      </c>
      <c r="K177" s="5" t="str">
        <f>CONCATENATE("")</f>
        <v/>
      </c>
      <c r="L177" s="5" t="str">
        <f>CONCATENATE("13 13.1 4a")</f>
        <v>13 13.1 4a</v>
      </c>
      <c r="M177" s="5" t="str">
        <f>CONCATENATE("GNTMRC69S13H501Y")</f>
        <v>GNTMRC69S13H501Y</v>
      </c>
      <c r="N177" s="5" t="s">
        <v>272</v>
      </c>
      <c r="O177" s="5" t="s">
        <v>174</v>
      </c>
      <c r="P177" s="6">
        <v>43927</v>
      </c>
      <c r="Q177" s="5" t="s">
        <v>31</v>
      </c>
      <c r="R177" s="5" t="s">
        <v>32</v>
      </c>
      <c r="S177" s="5" t="s">
        <v>33</v>
      </c>
      <c r="T177" s="5"/>
      <c r="U177" s="5">
        <v>161.72999999999999</v>
      </c>
      <c r="V177" s="5">
        <v>69.739999999999995</v>
      </c>
      <c r="W177" s="5">
        <v>64.400000000000006</v>
      </c>
      <c r="X177" s="5">
        <v>0</v>
      </c>
      <c r="Y177" s="5">
        <v>27.59</v>
      </c>
    </row>
    <row r="178" spans="1:25" x14ac:dyDescent="0.25">
      <c r="A178" s="5" t="s">
        <v>26</v>
      </c>
      <c r="B178" s="5" t="s">
        <v>27</v>
      </c>
      <c r="C178" s="5" t="s">
        <v>47</v>
      </c>
      <c r="D178" s="5" t="s">
        <v>164</v>
      </c>
      <c r="E178" s="5" t="s">
        <v>35</v>
      </c>
      <c r="F178" s="5" t="s">
        <v>224</v>
      </c>
      <c r="G178" s="5">
        <v>2019</v>
      </c>
      <c r="H178" s="5" t="str">
        <f>CONCATENATE("94210044262")</f>
        <v>94210044262</v>
      </c>
      <c r="I178" s="5" t="s">
        <v>29</v>
      </c>
      <c r="J178" s="5" t="s">
        <v>36</v>
      </c>
      <c r="K178" s="5" t="str">
        <f>CONCATENATE("")</f>
        <v/>
      </c>
      <c r="L178" s="5" t="str">
        <f>CONCATENATE("13 13.1 4a")</f>
        <v>13 13.1 4a</v>
      </c>
      <c r="M178" s="5" t="str">
        <f>CONCATENATE("GVNLNI55C67M078Y")</f>
        <v>GVNLNI55C67M078Y</v>
      </c>
      <c r="N178" s="5" t="s">
        <v>273</v>
      </c>
      <c r="O178" s="5" t="s">
        <v>174</v>
      </c>
      <c r="P178" s="6">
        <v>43927</v>
      </c>
      <c r="Q178" s="5" t="s">
        <v>31</v>
      </c>
      <c r="R178" s="5" t="s">
        <v>32</v>
      </c>
      <c r="S178" s="5" t="s">
        <v>33</v>
      </c>
      <c r="T178" s="5"/>
      <c r="U178" s="7">
        <v>9000</v>
      </c>
      <c r="V178" s="7">
        <v>3880.8</v>
      </c>
      <c r="W178" s="7">
        <v>3583.8</v>
      </c>
      <c r="X178" s="5">
        <v>0</v>
      </c>
      <c r="Y178" s="7">
        <v>1535.4</v>
      </c>
    </row>
    <row r="179" spans="1:25" ht="24.75" x14ac:dyDescent="0.25">
      <c r="A179" s="5" t="s">
        <v>26</v>
      </c>
      <c r="B179" s="5" t="s">
        <v>27</v>
      </c>
      <c r="C179" s="5" t="s">
        <v>47</v>
      </c>
      <c r="D179" s="5" t="s">
        <v>52</v>
      </c>
      <c r="E179" s="5" t="s">
        <v>28</v>
      </c>
      <c r="F179" s="5" t="s">
        <v>258</v>
      </c>
      <c r="G179" s="5">
        <v>2019</v>
      </c>
      <c r="H179" s="5" t="str">
        <f>CONCATENATE("94210259787")</f>
        <v>94210259787</v>
      </c>
      <c r="I179" s="5" t="s">
        <v>29</v>
      </c>
      <c r="J179" s="5" t="s">
        <v>36</v>
      </c>
      <c r="K179" s="5" t="str">
        <f>CONCATENATE("")</f>
        <v/>
      </c>
      <c r="L179" s="5" t="str">
        <f>CONCATENATE("13 13.1 4a")</f>
        <v>13 13.1 4a</v>
      </c>
      <c r="M179" s="5" t="str">
        <f>CONCATENATE("MRTSRN73L56G479T")</f>
        <v>MRTSRN73L56G479T</v>
      </c>
      <c r="N179" s="5" t="s">
        <v>274</v>
      </c>
      <c r="O179" s="5" t="s">
        <v>174</v>
      </c>
      <c r="P179" s="6">
        <v>43927</v>
      </c>
      <c r="Q179" s="5" t="s">
        <v>31</v>
      </c>
      <c r="R179" s="5" t="s">
        <v>32</v>
      </c>
      <c r="S179" s="5" t="s">
        <v>33</v>
      </c>
      <c r="T179" s="5"/>
      <c r="U179" s="7">
        <v>1348.88</v>
      </c>
      <c r="V179" s="5">
        <v>581.64</v>
      </c>
      <c r="W179" s="5">
        <v>537.12</v>
      </c>
      <c r="X179" s="5">
        <v>0</v>
      </c>
      <c r="Y179" s="5">
        <v>230.12</v>
      </c>
    </row>
    <row r="180" spans="1:25" ht="24.75" x14ac:dyDescent="0.25">
      <c r="A180" s="5" t="s">
        <v>26</v>
      </c>
      <c r="B180" s="5" t="s">
        <v>27</v>
      </c>
      <c r="C180" s="5" t="s">
        <v>47</v>
      </c>
      <c r="D180" s="5" t="s">
        <v>48</v>
      </c>
      <c r="E180" s="5" t="s">
        <v>38</v>
      </c>
      <c r="F180" s="5" t="s">
        <v>58</v>
      </c>
      <c r="G180" s="5">
        <v>2019</v>
      </c>
      <c r="H180" s="5" t="str">
        <f>CONCATENATE("94210134162")</f>
        <v>94210134162</v>
      </c>
      <c r="I180" s="5" t="s">
        <v>29</v>
      </c>
      <c r="J180" s="5" t="s">
        <v>36</v>
      </c>
      <c r="K180" s="5" t="str">
        <f>CONCATENATE("")</f>
        <v/>
      </c>
      <c r="L180" s="5" t="str">
        <f>CONCATENATE("13 13.1 4a")</f>
        <v>13 13.1 4a</v>
      </c>
      <c r="M180" s="5" t="str">
        <f>CONCATENATE("MRLMPL63R53H501T")</f>
        <v>MRLMPL63R53H501T</v>
      </c>
      <c r="N180" s="5" t="s">
        <v>275</v>
      </c>
      <c r="O180" s="5" t="s">
        <v>174</v>
      </c>
      <c r="P180" s="6">
        <v>43927</v>
      </c>
      <c r="Q180" s="5" t="s">
        <v>31</v>
      </c>
      <c r="R180" s="5" t="s">
        <v>32</v>
      </c>
      <c r="S180" s="5" t="s">
        <v>33</v>
      </c>
      <c r="T180" s="5"/>
      <c r="U180" s="7">
        <v>7002</v>
      </c>
      <c r="V180" s="7">
        <v>3019.26</v>
      </c>
      <c r="W180" s="7">
        <v>2788.2</v>
      </c>
      <c r="X180" s="5">
        <v>0</v>
      </c>
      <c r="Y180" s="7">
        <v>1194.54</v>
      </c>
    </row>
    <row r="181" spans="1:25" ht="24.75" x14ac:dyDescent="0.25">
      <c r="A181" s="5" t="s">
        <v>26</v>
      </c>
      <c r="B181" s="5" t="s">
        <v>27</v>
      </c>
      <c r="C181" s="5" t="s">
        <v>47</v>
      </c>
      <c r="D181" s="5" t="s">
        <v>48</v>
      </c>
      <c r="E181" s="5" t="s">
        <v>35</v>
      </c>
      <c r="F181" s="5" t="s">
        <v>154</v>
      </c>
      <c r="G181" s="5">
        <v>2019</v>
      </c>
      <c r="H181" s="5" t="str">
        <f>CONCATENATE("94210498575")</f>
        <v>94210498575</v>
      </c>
      <c r="I181" s="5" t="s">
        <v>29</v>
      </c>
      <c r="J181" s="5" t="s">
        <v>36</v>
      </c>
      <c r="K181" s="5" t="str">
        <f>CONCATENATE("")</f>
        <v/>
      </c>
      <c r="L181" s="5" t="str">
        <f>CONCATENATE("13 13.1 4a")</f>
        <v>13 13.1 4a</v>
      </c>
      <c r="M181" s="5" t="str">
        <f>CONCATENATE("LSEVND55S54D965G")</f>
        <v>LSEVND55S54D965G</v>
      </c>
      <c r="N181" s="5" t="s">
        <v>276</v>
      </c>
      <c r="O181" s="5" t="s">
        <v>174</v>
      </c>
      <c r="P181" s="6">
        <v>43927</v>
      </c>
      <c r="Q181" s="5" t="s">
        <v>31</v>
      </c>
      <c r="R181" s="5" t="s">
        <v>32</v>
      </c>
      <c r="S181" s="5" t="s">
        <v>33</v>
      </c>
      <c r="T181" s="5"/>
      <c r="U181" s="7">
        <v>5798.76</v>
      </c>
      <c r="V181" s="7">
        <v>2500.4299999999998</v>
      </c>
      <c r="W181" s="7">
        <v>2309.0700000000002</v>
      </c>
      <c r="X181" s="5">
        <v>0</v>
      </c>
      <c r="Y181" s="5">
        <v>989.26</v>
      </c>
    </row>
    <row r="182" spans="1:25" x14ac:dyDescent="0.25">
      <c r="A182" s="5" t="s">
        <v>26</v>
      </c>
      <c r="B182" s="5" t="s">
        <v>27</v>
      </c>
      <c r="C182" s="5" t="s">
        <v>47</v>
      </c>
      <c r="D182" s="5" t="s">
        <v>164</v>
      </c>
      <c r="E182" s="5" t="s">
        <v>40</v>
      </c>
      <c r="F182" s="5" t="s">
        <v>277</v>
      </c>
      <c r="G182" s="5">
        <v>2019</v>
      </c>
      <c r="H182" s="5" t="str">
        <f>CONCATENATE("94210341312")</f>
        <v>94210341312</v>
      </c>
      <c r="I182" s="5" t="s">
        <v>29</v>
      </c>
      <c r="J182" s="5" t="s">
        <v>36</v>
      </c>
      <c r="K182" s="5" t="str">
        <f>CONCATENATE("")</f>
        <v/>
      </c>
      <c r="L182" s="5" t="str">
        <f>CONCATENATE("13 13.1 4a")</f>
        <v>13 13.1 4a</v>
      </c>
      <c r="M182" s="5" t="str">
        <f>CONCATENATE("FLCNMR51L60I569U")</f>
        <v>FLCNMR51L60I569U</v>
      </c>
      <c r="N182" s="5" t="s">
        <v>278</v>
      </c>
      <c r="O182" s="5" t="s">
        <v>174</v>
      </c>
      <c r="P182" s="6">
        <v>43927</v>
      </c>
      <c r="Q182" s="5" t="s">
        <v>31</v>
      </c>
      <c r="R182" s="5" t="s">
        <v>32</v>
      </c>
      <c r="S182" s="5" t="s">
        <v>33</v>
      </c>
      <c r="T182" s="5"/>
      <c r="U182" s="7">
        <v>3463.02</v>
      </c>
      <c r="V182" s="7">
        <v>1493.25</v>
      </c>
      <c r="W182" s="7">
        <v>1378.97</v>
      </c>
      <c r="X182" s="5">
        <v>0</v>
      </c>
      <c r="Y182" s="5">
        <v>590.79999999999995</v>
      </c>
    </row>
    <row r="183" spans="1:25" x14ac:dyDescent="0.25">
      <c r="A183" s="5" t="s">
        <v>26</v>
      </c>
      <c r="B183" s="5" t="s">
        <v>27</v>
      </c>
      <c r="C183" s="5" t="s">
        <v>47</v>
      </c>
      <c r="D183" s="5" t="s">
        <v>164</v>
      </c>
      <c r="E183" s="5" t="s">
        <v>35</v>
      </c>
      <c r="F183" s="5" t="s">
        <v>224</v>
      </c>
      <c r="G183" s="5">
        <v>2019</v>
      </c>
      <c r="H183" s="5" t="str">
        <f>CONCATENATE("94210123629")</f>
        <v>94210123629</v>
      </c>
      <c r="I183" s="5" t="s">
        <v>29</v>
      </c>
      <c r="J183" s="5" t="s">
        <v>36</v>
      </c>
      <c r="K183" s="5" t="str">
        <f>CONCATENATE("")</f>
        <v/>
      </c>
      <c r="L183" s="5" t="str">
        <f>CONCATENATE("13 13.1 4a")</f>
        <v>13 13.1 4a</v>
      </c>
      <c r="M183" s="5" t="str">
        <f>CONCATENATE("GNTFRZ75R09B474B")</f>
        <v>GNTFRZ75R09B474B</v>
      </c>
      <c r="N183" s="5" t="s">
        <v>279</v>
      </c>
      <c r="O183" s="5" t="s">
        <v>174</v>
      </c>
      <c r="P183" s="6">
        <v>43927</v>
      </c>
      <c r="Q183" s="5" t="s">
        <v>31</v>
      </c>
      <c r="R183" s="5" t="s">
        <v>32</v>
      </c>
      <c r="S183" s="5" t="s">
        <v>33</v>
      </c>
      <c r="T183" s="5"/>
      <c r="U183" s="7">
        <v>1691.44</v>
      </c>
      <c r="V183" s="5">
        <v>729.35</v>
      </c>
      <c r="W183" s="5">
        <v>673.53</v>
      </c>
      <c r="X183" s="5">
        <v>0</v>
      </c>
      <c r="Y183" s="5">
        <v>288.56</v>
      </c>
    </row>
    <row r="184" spans="1:25" x14ac:dyDescent="0.25">
      <c r="A184" s="5" t="s">
        <v>26</v>
      </c>
      <c r="B184" s="5" t="s">
        <v>27</v>
      </c>
      <c r="C184" s="5" t="s">
        <v>47</v>
      </c>
      <c r="D184" s="5" t="s">
        <v>164</v>
      </c>
      <c r="E184" s="5" t="s">
        <v>35</v>
      </c>
      <c r="F184" s="5" t="s">
        <v>224</v>
      </c>
      <c r="G184" s="5">
        <v>2019</v>
      </c>
      <c r="H184" s="5" t="str">
        <f>CONCATENATE("94210053479")</f>
        <v>94210053479</v>
      </c>
      <c r="I184" s="5" t="s">
        <v>29</v>
      </c>
      <c r="J184" s="5" t="s">
        <v>36</v>
      </c>
      <c r="K184" s="5" t="str">
        <f>CONCATENATE("")</f>
        <v/>
      </c>
      <c r="L184" s="5" t="str">
        <f>CONCATENATE("13 13.1 4a")</f>
        <v>13 13.1 4a</v>
      </c>
      <c r="M184" s="5" t="str">
        <f>CONCATENATE("MCCGRL62L44B474G")</f>
        <v>MCCGRL62L44B474G</v>
      </c>
      <c r="N184" s="5" t="s">
        <v>280</v>
      </c>
      <c r="O184" s="5" t="s">
        <v>174</v>
      </c>
      <c r="P184" s="6">
        <v>43927</v>
      </c>
      <c r="Q184" s="5" t="s">
        <v>31</v>
      </c>
      <c r="R184" s="5" t="s">
        <v>32</v>
      </c>
      <c r="S184" s="5" t="s">
        <v>33</v>
      </c>
      <c r="T184" s="5"/>
      <c r="U184" s="7">
        <v>3038.12</v>
      </c>
      <c r="V184" s="7">
        <v>1310.04</v>
      </c>
      <c r="W184" s="7">
        <v>1209.78</v>
      </c>
      <c r="X184" s="5">
        <v>0</v>
      </c>
      <c r="Y184" s="5">
        <v>518.29999999999995</v>
      </c>
    </row>
    <row r="185" spans="1:25" ht="24.75" x14ac:dyDescent="0.25">
      <c r="A185" s="5" t="s">
        <v>26</v>
      </c>
      <c r="B185" s="5" t="s">
        <v>27</v>
      </c>
      <c r="C185" s="5" t="s">
        <v>47</v>
      </c>
      <c r="D185" s="5" t="s">
        <v>52</v>
      </c>
      <c r="E185" s="5" t="s">
        <v>28</v>
      </c>
      <c r="F185" s="5" t="s">
        <v>98</v>
      </c>
      <c r="G185" s="5">
        <v>2019</v>
      </c>
      <c r="H185" s="5" t="str">
        <f>CONCATENATE("94210242700")</f>
        <v>94210242700</v>
      </c>
      <c r="I185" s="5" t="s">
        <v>29</v>
      </c>
      <c r="J185" s="5" t="s">
        <v>36</v>
      </c>
      <c r="K185" s="5" t="str">
        <f>CONCATENATE("")</f>
        <v/>
      </c>
      <c r="L185" s="5" t="str">
        <f>CONCATENATE("13 13.1 4a")</f>
        <v>13 13.1 4a</v>
      </c>
      <c r="M185" s="5" t="str">
        <f>CONCATENATE("BRNMNL88H14I459V")</f>
        <v>BRNMNL88H14I459V</v>
      </c>
      <c r="N185" s="5" t="s">
        <v>281</v>
      </c>
      <c r="O185" s="5" t="s">
        <v>174</v>
      </c>
      <c r="P185" s="6">
        <v>43927</v>
      </c>
      <c r="Q185" s="5" t="s">
        <v>31</v>
      </c>
      <c r="R185" s="5" t="s">
        <v>32</v>
      </c>
      <c r="S185" s="5" t="s">
        <v>33</v>
      </c>
      <c r="T185" s="5"/>
      <c r="U185" s="7">
        <v>1385.82</v>
      </c>
      <c r="V185" s="5">
        <v>597.57000000000005</v>
      </c>
      <c r="W185" s="5">
        <v>551.83000000000004</v>
      </c>
      <c r="X185" s="5">
        <v>0</v>
      </c>
      <c r="Y185" s="5">
        <v>236.42</v>
      </c>
    </row>
    <row r="186" spans="1:25" x14ac:dyDescent="0.25">
      <c r="A186" s="5" t="s">
        <v>26</v>
      </c>
      <c r="B186" s="5" t="s">
        <v>27</v>
      </c>
      <c r="C186" s="5" t="s">
        <v>47</v>
      </c>
      <c r="D186" s="5" t="s">
        <v>164</v>
      </c>
      <c r="E186" s="5" t="s">
        <v>38</v>
      </c>
      <c r="F186" s="5" t="s">
        <v>282</v>
      </c>
      <c r="G186" s="5">
        <v>2019</v>
      </c>
      <c r="H186" s="5" t="str">
        <f>CONCATENATE("94780030014")</f>
        <v>94780030014</v>
      </c>
      <c r="I186" s="5" t="s">
        <v>29</v>
      </c>
      <c r="J186" s="5" t="s">
        <v>30</v>
      </c>
      <c r="K186" s="5" t="str">
        <f>CONCATENATE("221")</f>
        <v>221</v>
      </c>
      <c r="L186" s="5" t="str">
        <f>CONCATENATE("8 8.1 5e")</f>
        <v>8 8.1 5e</v>
      </c>
      <c r="M186" s="5" t="str">
        <f>CONCATENATE("NDRRND35P30D042Z")</f>
        <v>NDRRND35P30D042Z</v>
      </c>
      <c r="N186" s="5" t="s">
        <v>283</v>
      </c>
      <c r="O186" s="5" t="s">
        <v>178</v>
      </c>
      <c r="P186" s="6">
        <v>43929</v>
      </c>
      <c r="Q186" s="5" t="s">
        <v>31</v>
      </c>
      <c r="R186" s="5" t="s">
        <v>32</v>
      </c>
      <c r="S186" s="5" t="s">
        <v>33</v>
      </c>
      <c r="T186" s="5"/>
      <c r="U186" s="5">
        <v>886.9</v>
      </c>
      <c r="V186" s="5">
        <v>382.43</v>
      </c>
      <c r="W186" s="5">
        <v>353.16</v>
      </c>
      <c r="X186" s="5">
        <v>0</v>
      </c>
      <c r="Y186" s="5">
        <v>151.31</v>
      </c>
    </row>
    <row r="187" spans="1:25" x14ac:dyDescent="0.25">
      <c r="A187" s="5" t="s">
        <v>26</v>
      </c>
      <c r="B187" s="5" t="s">
        <v>27</v>
      </c>
      <c r="C187" s="5" t="s">
        <v>47</v>
      </c>
      <c r="D187" s="5" t="s">
        <v>164</v>
      </c>
      <c r="E187" s="5" t="s">
        <v>35</v>
      </c>
      <c r="F187" s="5" t="s">
        <v>284</v>
      </c>
      <c r="G187" s="5">
        <v>2019</v>
      </c>
      <c r="H187" s="5" t="str">
        <f>CONCATENATE("94780055532")</f>
        <v>94780055532</v>
      </c>
      <c r="I187" s="5" t="s">
        <v>29</v>
      </c>
      <c r="J187" s="5" t="s">
        <v>30</v>
      </c>
      <c r="K187" s="5" t="str">
        <f>CONCATENATE("221")</f>
        <v>221</v>
      </c>
      <c r="L187" s="5" t="str">
        <f>CONCATENATE("8 8.1 5e")</f>
        <v>8 8.1 5e</v>
      </c>
      <c r="M187" s="5" t="str">
        <f>CONCATENATE("CCCLSN59C03E783O")</f>
        <v>CCCLSN59C03E783O</v>
      </c>
      <c r="N187" s="5" t="s">
        <v>285</v>
      </c>
      <c r="O187" s="5" t="s">
        <v>178</v>
      </c>
      <c r="P187" s="6">
        <v>43929</v>
      </c>
      <c r="Q187" s="5" t="s">
        <v>31</v>
      </c>
      <c r="R187" s="5" t="s">
        <v>32</v>
      </c>
      <c r="S187" s="5" t="s">
        <v>33</v>
      </c>
      <c r="T187" s="5"/>
      <c r="U187" s="5">
        <v>48.87</v>
      </c>
      <c r="V187" s="5">
        <v>21.07</v>
      </c>
      <c r="W187" s="5">
        <v>19.46</v>
      </c>
      <c r="X187" s="5">
        <v>0</v>
      </c>
      <c r="Y187" s="5">
        <v>8.34</v>
      </c>
    </row>
    <row r="188" spans="1:25" x14ac:dyDescent="0.25">
      <c r="A188" s="5" t="s">
        <v>26</v>
      </c>
      <c r="B188" s="5" t="s">
        <v>27</v>
      </c>
      <c r="C188" s="5" t="s">
        <v>47</v>
      </c>
      <c r="D188" s="5" t="s">
        <v>164</v>
      </c>
      <c r="E188" s="5" t="s">
        <v>42</v>
      </c>
      <c r="F188" s="5" t="s">
        <v>247</v>
      </c>
      <c r="G188" s="5">
        <v>2019</v>
      </c>
      <c r="H188" s="5" t="str">
        <f>CONCATENATE("94780054089")</f>
        <v>94780054089</v>
      </c>
      <c r="I188" s="5" t="s">
        <v>29</v>
      </c>
      <c r="J188" s="5" t="s">
        <v>30</v>
      </c>
      <c r="K188" s="5" t="str">
        <f>CONCATENATE("221")</f>
        <v>221</v>
      </c>
      <c r="L188" s="5" t="str">
        <f>CONCATENATE("8 8.1 5e")</f>
        <v>8 8.1 5e</v>
      </c>
      <c r="M188" s="5" t="str">
        <f>CONCATENATE("BRTDDR35R23E694U")</f>
        <v>BRTDDR35R23E694U</v>
      </c>
      <c r="N188" s="5" t="s">
        <v>286</v>
      </c>
      <c r="O188" s="5" t="s">
        <v>178</v>
      </c>
      <c r="P188" s="6">
        <v>43929</v>
      </c>
      <c r="Q188" s="5" t="s">
        <v>31</v>
      </c>
      <c r="R188" s="5" t="s">
        <v>32</v>
      </c>
      <c r="S188" s="5" t="s">
        <v>33</v>
      </c>
      <c r="T188" s="5"/>
      <c r="U188" s="5">
        <v>583</v>
      </c>
      <c r="V188" s="5">
        <v>251.39</v>
      </c>
      <c r="W188" s="5">
        <v>232.15</v>
      </c>
      <c r="X188" s="5">
        <v>0</v>
      </c>
      <c r="Y188" s="5">
        <v>99.46</v>
      </c>
    </row>
    <row r="189" spans="1:25" x14ac:dyDescent="0.25">
      <c r="A189" s="5" t="s">
        <v>26</v>
      </c>
      <c r="B189" s="5" t="s">
        <v>27</v>
      </c>
      <c r="C189" s="5" t="s">
        <v>47</v>
      </c>
      <c r="D189" s="5" t="s">
        <v>164</v>
      </c>
      <c r="E189" s="5" t="s">
        <v>35</v>
      </c>
      <c r="F189" s="5" t="s">
        <v>249</v>
      </c>
      <c r="G189" s="5">
        <v>2019</v>
      </c>
      <c r="H189" s="5" t="str">
        <f>CONCATENATE("94780047026")</f>
        <v>94780047026</v>
      </c>
      <c r="I189" s="5" t="s">
        <v>29</v>
      </c>
      <c r="J189" s="5" t="s">
        <v>30</v>
      </c>
      <c r="K189" s="5" t="str">
        <f>CONCATENATE("221")</f>
        <v>221</v>
      </c>
      <c r="L189" s="5" t="str">
        <f>CONCATENATE("8 8.1 5e")</f>
        <v>8 8.1 5e</v>
      </c>
      <c r="M189" s="5" t="str">
        <f>CONCATENATE("CRLFLV60T43D121X")</f>
        <v>CRLFLV60T43D121X</v>
      </c>
      <c r="N189" s="5" t="s">
        <v>287</v>
      </c>
      <c r="O189" s="5" t="s">
        <v>178</v>
      </c>
      <c r="P189" s="6">
        <v>43929</v>
      </c>
      <c r="Q189" s="5" t="s">
        <v>31</v>
      </c>
      <c r="R189" s="5" t="s">
        <v>32</v>
      </c>
      <c r="S189" s="5" t="s">
        <v>33</v>
      </c>
      <c r="T189" s="5"/>
      <c r="U189" s="5">
        <v>97.74</v>
      </c>
      <c r="V189" s="5">
        <v>42.15</v>
      </c>
      <c r="W189" s="5">
        <v>38.92</v>
      </c>
      <c r="X189" s="5">
        <v>0</v>
      </c>
      <c r="Y189" s="5">
        <v>16.670000000000002</v>
      </c>
    </row>
    <row r="190" spans="1:25" ht="24.75" x14ac:dyDescent="0.25">
      <c r="A190" s="5" t="s">
        <v>26</v>
      </c>
      <c r="B190" s="5" t="s">
        <v>27</v>
      </c>
      <c r="C190" s="5" t="s">
        <v>47</v>
      </c>
      <c r="D190" s="5" t="s">
        <v>164</v>
      </c>
      <c r="E190" s="5" t="s">
        <v>28</v>
      </c>
      <c r="F190" s="5" t="s">
        <v>288</v>
      </c>
      <c r="G190" s="5">
        <v>2019</v>
      </c>
      <c r="H190" s="5" t="str">
        <f>CONCATENATE("94780032184")</f>
        <v>94780032184</v>
      </c>
      <c r="I190" s="5" t="s">
        <v>29</v>
      </c>
      <c r="J190" s="5" t="s">
        <v>30</v>
      </c>
      <c r="K190" s="5" t="str">
        <f>CONCATENATE("221")</f>
        <v>221</v>
      </c>
      <c r="L190" s="5" t="str">
        <f>CONCATENATE("8 8.1 5e")</f>
        <v>8 8.1 5e</v>
      </c>
      <c r="M190" s="5" t="str">
        <f>CONCATENATE("00884880436")</f>
        <v>00884880436</v>
      </c>
      <c r="N190" s="5" t="s">
        <v>289</v>
      </c>
      <c r="O190" s="5" t="s">
        <v>178</v>
      </c>
      <c r="P190" s="6">
        <v>43929</v>
      </c>
      <c r="Q190" s="5" t="s">
        <v>31</v>
      </c>
      <c r="R190" s="5" t="s">
        <v>32</v>
      </c>
      <c r="S190" s="5" t="s">
        <v>33</v>
      </c>
      <c r="T190" s="5"/>
      <c r="U190" s="5">
        <v>238.92</v>
      </c>
      <c r="V190" s="5">
        <v>103.02</v>
      </c>
      <c r="W190" s="5">
        <v>95.14</v>
      </c>
      <c r="X190" s="5">
        <v>0</v>
      </c>
      <c r="Y190" s="5">
        <v>40.76</v>
      </c>
    </row>
    <row r="191" spans="1:25" x14ac:dyDescent="0.25">
      <c r="A191" s="5" t="s">
        <v>26</v>
      </c>
      <c r="B191" s="5" t="s">
        <v>27</v>
      </c>
      <c r="C191" s="5" t="s">
        <v>47</v>
      </c>
      <c r="D191" s="5" t="s">
        <v>164</v>
      </c>
      <c r="E191" s="5" t="s">
        <v>28</v>
      </c>
      <c r="F191" s="5" t="s">
        <v>288</v>
      </c>
      <c r="G191" s="5">
        <v>2019</v>
      </c>
      <c r="H191" s="5" t="str">
        <f>CONCATENATE("94780032226")</f>
        <v>94780032226</v>
      </c>
      <c r="I191" s="5" t="s">
        <v>29</v>
      </c>
      <c r="J191" s="5" t="s">
        <v>30</v>
      </c>
      <c r="K191" s="5" t="str">
        <f>CONCATENATE("221")</f>
        <v>221</v>
      </c>
      <c r="L191" s="5" t="str">
        <f>CONCATENATE("8 8.1 5e")</f>
        <v>8 8.1 5e</v>
      </c>
      <c r="M191" s="5" t="str">
        <f>CONCATENATE("80006970430")</f>
        <v>80006970430</v>
      </c>
      <c r="N191" s="5" t="s">
        <v>290</v>
      </c>
      <c r="O191" s="5" t="s">
        <v>178</v>
      </c>
      <c r="P191" s="6">
        <v>43929</v>
      </c>
      <c r="Q191" s="5" t="s">
        <v>31</v>
      </c>
      <c r="R191" s="5" t="s">
        <v>32</v>
      </c>
      <c r="S191" s="5" t="s">
        <v>33</v>
      </c>
      <c r="T191" s="5"/>
      <c r="U191" s="7">
        <v>1332</v>
      </c>
      <c r="V191" s="5">
        <v>574.36</v>
      </c>
      <c r="W191" s="5">
        <v>530.4</v>
      </c>
      <c r="X191" s="5">
        <v>0</v>
      </c>
      <c r="Y191" s="5">
        <v>227.24</v>
      </c>
    </row>
    <row r="192" spans="1:25" x14ac:dyDescent="0.25">
      <c r="A192" s="5" t="s">
        <v>26</v>
      </c>
      <c r="B192" s="5" t="s">
        <v>27</v>
      </c>
      <c r="C192" s="5" t="s">
        <v>47</v>
      </c>
      <c r="D192" s="5" t="s">
        <v>164</v>
      </c>
      <c r="E192" s="5" t="s">
        <v>28</v>
      </c>
      <c r="F192" s="5" t="s">
        <v>288</v>
      </c>
      <c r="G192" s="5">
        <v>2019</v>
      </c>
      <c r="H192" s="5" t="str">
        <f>CONCATENATE("94780032200")</f>
        <v>94780032200</v>
      </c>
      <c r="I192" s="5" t="s">
        <v>29</v>
      </c>
      <c r="J192" s="5" t="s">
        <v>30</v>
      </c>
      <c r="K192" s="5" t="str">
        <f>CONCATENATE("221")</f>
        <v>221</v>
      </c>
      <c r="L192" s="5" t="str">
        <f>CONCATENATE("8 8.1 5e")</f>
        <v>8 8.1 5e</v>
      </c>
      <c r="M192" s="5" t="str">
        <f>CONCATENATE("80006970430")</f>
        <v>80006970430</v>
      </c>
      <c r="N192" s="5" t="s">
        <v>290</v>
      </c>
      <c r="O192" s="5" t="s">
        <v>178</v>
      </c>
      <c r="P192" s="6">
        <v>43929</v>
      </c>
      <c r="Q192" s="5" t="s">
        <v>31</v>
      </c>
      <c r="R192" s="5" t="s">
        <v>32</v>
      </c>
      <c r="S192" s="5" t="s">
        <v>33</v>
      </c>
      <c r="T192" s="5"/>
      <c r="U192" s="7">
        <v>1458</v>
      </c>
      <c r="V192" s="5">
        <v>628.69000000000005</v>
      </c>
      <c r="W192" s="5">
        <v>580.58000000000004</v>
      </c>
      <c r="X192" s="5">
        <v>0</v>
      </c>
      <c r="Y192" s="5">
        <v>248.73</v>
      </c>
    </row>
    <row r="193" spans="1:25" x14ac:dyDescent="0.25">
      <c r="A193" s="5" t="s">
        <v>26</v>
      </c>
      <c r="B193" s="5" t="s">
        <v>27</v>
      </c>
      <c r="C193" s="5" t="s">
        <v>47</v>
      </c>
      <c r="D193" s="5" t="s">
        <v>164</v>
      </c>
      <c r="E193" s="5" t="s">
        <v>35</v>
      </c>
      <c r="F193" s="5" t="s">
        <v>205</v>
      </c>
      <c r="G193" s="5">
        <v>2019</v>
      </c>
      <c r="H193" s="5" t="str">
        <f>CONCATENATE("94780054238")</f>
        <v>94780054238</v>
      </c>
      <c r="I193" s="5" t="s">
        <v>29</v>
      </c>
      <c r="J193" s="5" t="s">
        <v>30</v>
      </c>
      <c r="K193" s="5" t="str">
        <f>CONCATENATE("221")</f>
        <v>221</v>
      </c>
      <c r="L193" s="5" t="str">
        <f>CONCATENATE("8 8.1 5e")</f>
        <v>8 8.1 5e</v>
      </c>
      <c r="M193" s="5" t="str">
        <f>CONCATENATE("BRCMSS61M55G436T")</f>
        <v>BRCMSS61M55G436T</v>
      </c>
      <c r="N193" s="5" t="s">
        <v>291</v>
      </c>
      <c r="O193" s="5" t="s">
        <v>178</v>
      </c>
      <c r="P193" s="6">
        <v>43929</v>
      </c>
      <c r="Q193" s="5" t="s">
        <v>31</v>
      </c>
      <c r="R193" s="5" t="s">
        <v>32</v>
      </c>
      <c r="S193" s="5" t="s">
        <v>33</v>
      </c>
      <c r="T193" s="5"/>
      <c r="U193" s="5">
        <v>153.85</v>
      </c>
      <c r="V193" s="5">
        <v>66.34</v>
      </c>
      <c r="W193" s="5">
        <v>61.26</v>
      </c>
      <c r="X193" s="5">
        <v>0</v>
      </c>
      <c r="Y193" s="5">
        <v>26.25</v>
      </c>
    </row>
    <row r="194" spans="1:25" x14ac:dyDescent="0.25">
      <c r="A194" s="5" t="s">
        <v>26</v>
      </c>
      <c r="B194" s="5" t="s">
        <v>27</v>
      </c>
      <c r="C194" s="5" t="s">
        <v>47</v>
      </c>
      <c r="D194" s="5" t="s">
        <v>164</v>
      </c>
      <c r="E194" s="5" t="s">
        <v>28</v>
      </c>
      <c r="F194" s="5" t="s">
        <v>288</v>
      </c>
      <c r="G194" s="5">
        <v>2019</v>
      </c>
      <c r="H194" s="5" t="str">
        <f>CONCATENATE("94780032242")</f>
        <v>94780032242</v>
      </c>
      <c r="I194" s="5" t="s">
        <v>29</v>
      </c>
      <c r="J194" s="5" t="s">
        <v>30</v>
      </c>
      <c r="K194" s="5" t="str">
        <f>CONCATENATE("221")</f>
        <v>221</v>
      </c>
      <c r="L194" s="5" t="str">
        <f>CONCATENATE("8 8.1 5e")</f>
        <v>8 8.1 5e</v>
      </c>
      <c r="M194" s="5" t="str">
        <f>CONCATENATE("CSTRLD56A27L366J")</f>
        <v>CSTRLD56A27L366J</v>
      </c>
      <c r="N194" s="5" t="s">
        <v>292</v>
      </c>
      <c r="O194" s="5" t="s">
        <v>178</v>
      </c>
      <c r="P194" s="6">
        <v>43929</v>
      </c>
      <c r="Q194" s="5" t="s">
        <v>31</v>
      </c>
      <c r="R194" s="5" t="s">
        <v>32</v>
      </c>
      <c r="S194" s="5" t="s">
        <v>33</v>
      </c>
      <c r="T194" s="5"/>
      <c r="U194" s="5">
        <v>108.6</v>
      </c>
      <c r="V194" s="5">
        <v>46.83</v>
      </c>
      <c r="W194" s="5">
        <v>43.24</v>
      </c>
      <c r="X194" s="5">
        <v>0</v>
      </c>
      <c r="Y194" s="5">
        <v>18.53</v>
      </c>
    </row>
    <row r="195" spans="1:25" x14ac:dyDescent="0.25">
      <c r="A195" s="5" t="s">
        <v>26</v>
      </c>
      <c r="B195" s="5" t="s">
        <v>27</v>
      </c>
      <c r="C195" s="5" t="s">
        <v>47</v>
      </c>
      <c r="D195" s="5" t="s">
        <v>164</v>
      </c>
      <c r="E195" s="5" t="s">
        <v>35</v>
      </c>
      <c r="F195" s="5" t="s">
        <v>284</v>
      </c>
      <c r="G195" s="5">
        <v>2019</v>
      </c>
      <c r="H195" s="5" t="str">
        <f>CONCATENATE("94780038587")</f>
        <v>94780038587</v>
      </c>
      <c r="I195" s="5" t="s">
        <v>29</v>
      </c>
      <c r="J195" s="5" t="s">
        <v>30</v>
      </c>
      <c r="K195" s="5" t="str">
        <f>CONCATENATE("221")</f>
        <v>221</v>
      </c>
      <c r="L195" s="5" t="str">
        <f>CONCATENATE("8 8.1 5e")</f>
        <v>8 8.1 5e</v>
      </c>
      <c r="M195" s="5" t="str">
        <f>CONCATENATE("CCCPLA63C48E783J")</f>
        <v>CCCPLA63C48E783J</v>
      </c>
      <c r="N195" s="5" t="s">
        <v>293</v>
      </c>
      <c r="O195" s="5" t="s">
        <v>178</v>
      </c>
      <c r="P195" s="6">
        <v>43929</v>
      </c>
      <c r="Q195" s="5" t="s">
        <v>31</v>
      </c>
      <c r="R195" s="5" t="s">
        <v>32</v>
      </c>
      <c r="S195" s="5" t="s">
        <v>33</v>
      </c>
      <c r="T195" s="5"/>
      <c r="U195" s="5">
        <v>72.400000000000006</v>
      </c>
      <c r="V195" s="5">
        <v>31.22</v>
      </c>
      <c r="W195" s="5">
        <v>28.83</v>
      </c>
      <c r="X195" s="5">
        <v>0</v>
      </c>
      <c r="Y195" s="5">
        <v>12.35</v>
      </c>
    </row>
    <row r="196" spans="1:25" x14ac:dyDescent="0.25">
      <c r="A196" s="5" t="s">
        <v>26</v>
      </c>
      <c r="B196" s="5" t="s">
        <v>27</v>
      </c>
      <c r="C196" s="5" t="s">
        <v>47</v>
      </c>
      <c r="D196" s="5" t="s">
        <v>164</v>
      </c>
      <c r="E196" s="5" t="s">
        <v>35</v>
      </c>
      <c r="F196" s="5" t="s">
        <v>284</v>
      </c>
      <c r="G196" s="5">
        <v>2019</v>
      </c>
      <c r="H196" s="5" t="str">
        <f>CONCATENATE("94780038595")</f>
        <v>94780038595</v>
      </c>
      <c r="I196" s="5" t="s">
        <v>29</v>
      </c>
      <c r="J196" s="5" t="s">
        <v>30</v>
      </c>
      <c r="K196" s="5" t="str">
        <f>CONCATENATE("221")</f>
        <v>221</v>
      </c>
      <c r="L196" s="5" t="str">
        <f>CONCATENATE("8 8.1 5e")</f>
        <v>8 8.1 5e</v>
      </c>
      <c r="M196" s="5" t="str">
        <f>CONCATENATE("BNGCRD60H18E783Z")</f>
        <v>BNGCRD60H18E783Z</v>
      </c>
      <c r="N196" s="5" t="s">
        <v>294</v>
      </c>
      <c r="O196" s="5" t="s">
        <v>178</v>
      </c>
      <c r="P196" s="6">
        <v>43929</v>
      </c>
      <c r="Q196" s="5" t="s">
        <v>31</v>
      </c>
      <c r="R196" s="5" t="s">
        <v>32</v>
      </c>
      <c r="S196" s="5" t="s">
        <v>33</v>
      </c>
      <c r="T196" s="5"/>
      <c r="U196" s="5">
        <v>269.69</v>
      </c>
      <c r="V196" s="5">
        <v>116.29</v>
      </c>
      <c r="W196" s="5">
        <v>107.39</v>
      </c>
      <c r="X196" s="5">
        <v>0</v>
      </c>
      <c r="Y196" s="5">
        <v>46.01</v>
      </c>
    </row>
    <row r="197" spans="1:25" x14ac:dyDescent="0.25">
      <c r="A197" s="5" t="s">
        <v>26</v>
      </c>
      <c r="B197" s="5" t="s">
        <v>27</v>
      </c>
      <c r="C197" s="5" t="s">
        <v>47</v>
      </c>
      <c r="D197" s="5" t="s">
        <v>164</v>
      </c>
      <c r="E197" s="5" t="s">
        <v>35</v>
      </c>
      <c r="F197" s="5" t="s">
        <v>249</v>
      </c>
      <c r="G197" s="5">
        <v>2019</v>
      </c>
      <c r="H197" s="5" t="str">
        <f>CONCATENATE("94780039015")</f>
        <v>94780039015</v>
      </c>
      <c r="I197" s="5" t="s">
        <v>29</v>
      </c>
      <c r="J197" s="5" t="s">
        <v>30</v>
      </c>
      <c r="K197" s="5" t="str">
        <f>CONCATENATE("221")</f>
        <v>221</v>
      </c>
      <c r="L197" s="5" t="str">
        <f>CONCATENATE("8 8.1 5e")</f>
        <v>8 8.1 5e</v>
      </c>
      <c r="M197" s="5" t="str">
        <f>CONCATENATE("BNFLRN57T10F552S")</f>
        <v>BNFLRN57T10F552S</v>
      </c>
      <c r="N197" s="5" t="s">
        <v>295</v>
      </c>
      <c r="O197" s="5" t="s">
        <v>178</v>
      </c>
      <c r="P197" s="6">
        <v>43929</v>
      </c>
      <c r="Q197" s="5" t="s">
        <v>31</v>
      </c>
      <c r="R197" s="5" t="s">
        <v>32</v>
      </c>
      <c r="S197" s="5" t="s">
        <v>33</v>
      </c>
      <c r="T197" s="5"/>
      <c r="U197" s="5">
        <v>217.2</v>
      </c>
      <c r="V197" s="5">
        <v>93.66</v>
      </c>
      <c r="W197" s="5">
        <v>86.49</v>
      </c>
      <c r="X197" s="5">
        <v>0</v>
      </c>
      <c r="Y197" s="5">
        <v>37.049999999999997</v>
      </c>
    </row>
    <row r="198" spans="1:25" x14ac:dyDescent="0.25">
      <c r="A198" s="5" t="s">
        <v>26</v>
      </c>
      <c r="B198" s="5" t="s">
        <v>27</v>
      </c>
      <c r="C198" s="5" t="s">
        <v>47</v>
      </c>
      <c r="D198" s="5" t="s">
        <v>164</v>
      </c>
      <c r="E198" s="5" t="s">
        <v>42</v>
      </c>
      <c r="F198" s="5" t="s">
        <v>296</v>
      </c>
      <c r="G198" s="5">
        <v>2019</v>
      </c>
      <c r="H198" s="5" t="str">
        <f>CONCATENATE("94780051218")</f>
        <v>94780051218</v>
      </c>
      <c r="I198" s="5" t="s">
        <v>29</v>
      </c>
      <c r="J198" s="5" t="s">
        <v>30</v>
      </c>
      <c r="K198" s="5" t="str">
        <f>CONCATENATE("221")</f>
        <v>221</v>
      </c>
      <c r="L198" s="5" t="str">
        <f>CONCATENATE("8 8.1 5e")</f>
        <v>8 8.1 5e</v>
      </c>
      <c r="M198" s="5" t="str">
        <f>CONCATENATE("SCDMSL64C03I156L")</f>
        <v>SCDMSL64C03I156L</v>
      </c>
      <c r="N198" s="5" t="s">
        <v>297</v>
      </c>
      <c r="O198" s="5" t="s">
        <v>178</v>
      </c>
      <c r="P198" s="6">
        <v>43929</v>
      </c>
      <c r="Q198" s="5" t="s">
        <v>31</v>
      </c>
      <c r="R198" s="5" t="s">
        <v>32</v>
      </c>
      <c r="S198" s="5" t="s">
        <v>33</v>
      </c>
      <c r="T198" s="5"/>
      <c r="U198" s="5">
        <v>188.65</v>
      </c>
      <c r="V198" s="5">
        <v>81.349999999999994</v>
      </c>
      <c r="W198" s="5">
        <v>75.12</v>
      </c>
      <c r="X198" s="5">
        <v>0</v>
      </c>
      <c r="Y198" s="5">
        <v>32.18</v>
      </c>
    </row>
    <row r="199" spans="1:25" ht="24.75" x14ac:dyDescent="0.25">
      <c r="A199" s="5" t="s">
        <v>26</v>
      </c>
      <c r="B199" s="5" t="s">
        <v>27</v>
      </c>
      <c r="C199" s="5" t="s">
        <v>47</v>
      </c>
      <c r="D199" s="5" t="s">
        <v>52</v>
      </c>
      <c r="E199" s="5" t="s">
        <v>28</v>
      </c>
      <c r="F199" s="5" t="s">
        <v>77</v>
      </c>
      <c r="G199" s="5">
        <v>2019</v>
      </c>
      <c r="H199" s="5" t="str">
        <f>CONCATENATE("94211405694")</f>
        <v>94211405694</v>
      </c>
      <c r="I199" s="5" t="s">
        <v>29</v>
      </c>
      <c r="J199" s="5" t="s">
        <v>36</v>
      </c>
      <c r="K199" s="5" t="str">
        <f>CONCATENATE("")</f>
        <v/>
      </c>
      <c r="L199" s="5" t="str">
        <f>CONCATENATE("13 13.1 4a")</f>
        <v>13 13.1 4a</v>
      </c>
      <c r="M199" s="5" t="str">
        <f>CONCATENATE("BRNSFN72A28D488F")</f>
        <v>BRNSFN72A28D488F</v>
      </c>
      <c r="N199" s="5" t="s">
        <v>298</v>
      </c>
      <c r="O199" s="5" t="s">
        <v>174</v>
      </c>
      <c r="P199" s="6">
        <v>43927</v>
      </c>
      <c r="Q199" s="5" t="s">
        <v>31</v>
      </c>
      <c r="R199" s="5" t="s">
        <v>32</v>
      </c>
      <c r="S199" s="5" t="s">
        <v>33</v>
      </c>
      <c r="T199" s="5"/>
      <c r="U199" s="7">
        <v>4707.46</v>
      </c>
      <c r="V199" s="7">
        <v>2029.86</v>
      </c>
      <c r="W199" s="7">
        <v>1874.51</v>
      </c>
      <c r="X199" s="5">
        <v>0</v>
      </c>
      <c r="Y199" s="5">
        <v>803.09</v>
      </c>
    </row>
    <row r="200" spans="1:25" ht="24.75" x14ac:dyDescent="0.25">
      <c r="A200" s="5" t="s">
        <v>26</v>
      </c>
      <c r="B200" s="5" t="s">
        <v>34</v>
      </c>
      <c r="C200" s="5" t="s">
        <v>47</v>
      </c>
      <c r="D200" s="5" t="s">
        <v>102</v>
      </c>
      <c r="E200" s="5" t="s">
        <v>35</v>
      </c>
      <c r="F200" s="5" t="s">
        <v>112</v>
      </c>
      <c r="G200" s="5">
        <v>2017</v>
      </c>
      <c r="H200" s="5" t="str">
        <f>CONCATENATE("04270031356")</f>
        <v>04270031356</v>
      </c>
      <c r="I200" s="5" t="s">
        <v>29</v>
      </c>
      <c r="J200" s="5" t="s">
        <v>36</v>
      </c>
      <c r="K200" s="5" t="str">
        <f>CONCATENATE("")</f>
        <v/>
      </c>
      <c r="L200" s="5" t="str">
        <f>CONCATENATE("6 6.1 2b")</f>
        <v>6 6.1 2b</v>
      </c>
      <c r="M200" s="5" t="str">
        <f>CONCATENATE("PCASMN89B19A462V")</f>
        <v>PCASMN89B19A462V</v>
      </c>
      <c r="N200" s="5" t="s">
        <v>299</v>
      </c>
      <c r="O200" s="5" t="s">
        <v>300</v>
      </c>
      <c r="P200" s="6">
        <v>43927</v>
      </c>
      <c r="Q200" s="5" t="s">
        <v>31</v>
      </c>
      <c r="R200" s="5" t="s">
        <v>41</v>
      </c>
      <c r="S200" s="5" t="s">
        <v>33</v>
      </c>
      <c r="T200" s="5"/>
      <c r="U200" s="7">
        <v>42000</v>
      </c>
      <c r="V200" s="7">
        <v>18110.400000000001</v>
      </c>
      <c r="W200" s="7">
        <v>16724.400000000001</v>
      </c>
      <c r="X200" s="5">
        <v>0</v>
      </c>
      <c r="Y200" s="7">
        <v>7165.2</v>
      </c>
    </row>
    <row r="201" spans="1:25" ht="24.75" x14ac:dyDescent="0.25">
      <c r="A201" s="5" t="s">
        <v>26</v>
      </c>
      <c r="B201" s="5" t="s">
        <v>27</v>
      </c>
      <c r="C201" s="5" t="s">
        <v>47</v>
      </c>
      <c r="D201" s="5" t="s">
        <v>102</v>
      </c>
      <c r="E201" s="5" t="s">
        <v>42</v>
      </c>
      <c r="F201" s="5" t="s">
        <v>301</v>
      </c>
      <c r="G201" s="5">
        <v>2019</v>
      </c>
      <c r="H201" s="5" t="str">
        <f>CONCATENATE("94240921497")</f>
        <v>94240921497</v>
      </c>
      <c r="I201" s="5" t="s">
        <v>29</v>
      </c>
      <c r="J201" s="5" t="s">
        <v>36</v>
      </c>
      <c r="K201" s="5" t="str">
        <f>CONCATENATE("")</f>
        <v/>
      </c>
      <c r="L201" s="5" t="str">
        <f>CONCATENATE("11 11.2 4b")</f>
        <v>11 11.2 4b</v>
      </c>
      <c r="M201" s="5" t="str">
        <f>CONCATENATE("01968650448")</f>
        <v>01968650448</v>
      </c>
      <c r="N201" s="5" t="s">
        <v>302</v>
      </c>
      <c r="O201" s="5" t="s">
        <v>158</v>
      </c>
      <c r="P201" s="6">
        <v>43927</v>
      </c>
      <c r="Q201" s="5" t="s">
        <v>31</v>
      </c>
      <c r="R201" s="5" t="s">
        <v>32</v>
      </c>
      <c r="S201" s="5" t="s">
        <v>33</v>
      </c>
      <c r="T201" s="5"/>
      <c r="U201" s="7">
        <v>3240.21</v>
      </c>
      <c r="V201" s="7">
        <v>1397.18</v>
      </c>
      <c r="W201" s="7">
        <v>1290.25</v>
      </c>
      <c r="X201" s="5">
        <v>0</v>
      </c>
      <c r="Y201" s="5">
        <v>552.78</v>
      </c>
    </row>
    <row r="202" spans="1:25" ht="24.75" x14ac:dyDescent="0.25">
      <c r="A202" s="5" t="s">
        <v>26</v>
      </c>
      <c r="B202" s="5" t="s">
        <v>27</v>
      </c>
      <c r="C202" s="5" t="s">
        <v>47</v>
      </c>
      <c r="D202" s="5" t="s">
        <v>52</v>
      </c>
      <c r="E202" s="5" t="s">
        <v>28</v>
      </c>
      <c r="F202" s="5" t="s">
        <v>79</v>
      </c>
      <c r="G202" s="5">
        <v>2019</v>
      </c>
      <c r="H202" s="5" t="str">
        <f>CONCATENATE("94210137017")</f>
        <v>94210137017</v>
      </c>
      <c r="I202" s="5" t="s">
        <v>29</v>
      </c>
      <c r="J202" s="5" t="s">
        <v>36</v>
      </c>
      <c r="K202" s="5" t="str">
        <f>CONCATENATE("")</f>
        <v/>
      </c>
      <c r="L202" s="5" t="str">
        <f>CONCATENATE("13 13.1 4a")</f>
        <v>13 13.1 4a</v>
      </c>
      <c r="M202" s="5" t="str">
        <f>CONCATENATE("PLLDNI38H14G618C")</f>
        <v>PLLDNI38H14G618C</v>
      </c>
      <c r="N202" s="5" t="s">
        <v>303</v>
      </c>
      <c r="O202" s="5" t="s">
        <v>163</v>
      </c>
      <c r="P202" s="6">
        <v>43927</v>
      </c>
      <c r="Q202" s="5" t="s">
        <v>31</v>
      </c>
      <c r="R202" s="5" t="s">
        <v>32</v>
      </c>
      <c r="S202" s="5" t="s">
        <v>33</v>
      </c>
      <c r="T202" s="5"/>
      <c r="U202" s="5">
        <v>710.3</v>
      </c>
      <c r="V202" s="5">
        <v>306.27999999999997</v>
      </c>
      <c r="W202" s="5">
        <v>282.83999999999997</v>
      </c>
      <c r="X202" s="5">
        <v>0</v>
      </c>
      <c r="Y202" s="5">
        <v>121.18</v>
      </c>
    </row>
    <row r="203" spans="1:25" ht="24.75" x14ac:dyDescent="0.25">
      <c r="A203" s="5" t="s">
        <v>26</v>
      </c>
      <c r="B203" s="5" t="s">
        <v>27</v>
      </c>
      <c r="C203" s="5" t="s">
        <v>47</v>
      </c>
      <c r="D203" s="5" t="s">
        <v>52</v>
      </c>
      <c r="E203" s="5" t="s">
        <v>28</v>
      </c>
      <c r="F203" s="5" t="s">
        <v>98</v>
      </c>
      <c r="G203" s="5">
        <v>2019</v>
      </c>
      <c r="H203" s="5" t="str">
        <f>CONCATENATE("94210321538")</f>
        <v>94210321538</v>
      </c>
      <c r="I203" s="5" t="s">
        <v>29</v>
      </c>
      <c r="J203" s="5" t="s">
        <v>36</v>
      </c>
      <c r="K203" s="5" t="str">
        <f>CONCATENATE("")</f>
        <v/>
      </c>
      <c r="L203" s="5" t="str">
        <f>CONCATENATE("13 13.1 4a")</f>
        <v>13 13.1 4a</v>
      </c>
      <c r="M203" s="5" t="str">
        <f>CONCATENATE("PSQRNI41P60G551M")</f>
        <v>PSQRNI41P60G551M</v>
      </c>
      <c r="N203" s="5" t="s">
        <v>304</v>
      </c>
      <c r="O203" s="5" t="s">
        <v>163</v>
      </c>
      <c r="P203" s="6">
        <v>43927</v>
      </c>
      <c r="Q203" s="5" t="s">
        <v>31</v>
      </c>
      <c r="R203" s="5" t="s">
        <v>32</v>
      </c>
      <c r="S203" s="5" t="s">
        <v>33</v>
      </c>
      <c r="T203" s="5"/>
      <c r="U203" s="5">
        <v>940.74</v>
      </c>
      <c r="V203" s="5">
        <v>405.65</v>
      </c>
      <c r="W203" s="5">
        <v>374.6</v>
      </c>
      <c r="X203" s="5">
        <v>0</v>
      </c>
      <c r="Y203" s="5">
        <v>160.49</v>
      </c>
    </row>
    <row r="204" spans="1:25" ht="24.75" x14ac:dyDescent="0.25">
      <c r="A204" s="5" t="s">
        <v>26</v>
      </c>
      <c r="B204" s="5" t="s">
        <v>27</v>
      </c>
      <c r="C204" s="5" t="s">
        <v>47</v>
      </c>
      <c r="D204" s="5" t="s">
        <v>48</v>
      </c>
      <c r="E204" s="5" t="s">
        <v>28</v>
      </c>
      <c r="F204" s="5" t="s">
        <v>75</v>
      </c>
      <c r="G204" s="5">
        <v>2019</v>
      </c>
      <c r="H204" s="5" t="str">
        <f>CONCATENATE("94210709377")</f>
        <v>94210709377</v>
      </c>
      <c r="I204" s="5" t="s">
        <v>29</v>
      </c>
      <c r="J204" s="5" t="s">
        <v>36</v>
      </c>
      <c r="K204" s="5" t="str">
        <f>CONCATENATE("")</f>
        <v/>
      </c>
      <c r="L204" s="5" t="str">
        <f>CONCATENATE("13 13.1 4a")</f>
        <v>13 13.1 4a</v>
      </c>
      <c r="M204" s="5" t="str">
        <f>CONCATENATE("BNARND28R12D965U")</f>
        <v>BNARND28R12D965U</v>
      </c>
      <c r="N204" s="5" t="s">
        <v>305</v>
      </c>
      <c r="O204" s="5" t="s">
        <v>174</v>
      </c>
      <c r="P204" s="6">
        <v>43927</v>
      </c>
      <c r="Q204" s="5" t="s">
        <v>31</v>
      </c>
      <c r="R204" s="5" t="s">
        <v>32</v>
      </c>
      <c r="S204" s="5" t="s">
        <v>33</v>
      </c>
      <c r="T204" s="5"/>
      <c r="U204" s="7">
        <v>1722.82</v>
      </c>
      <c r="V204" s="5">
        <v>742.88</v>
      </c>
      <c r="W204" s="5">
        <v>686.03</v>
      </c>
      <c r="X204" s="5">
        <v>0</v>
      </c>
      <c r="Y204" s="5">
        <v>293.91000000000003</v>
      </c>
    </row>
    <row r="205" spans="1:25" ht="24.75" x14ac:dyDescent="0.25">
      <c r="A205" s="5" t="s">
        <v>26</v>
      </c>
      <c r="B205" s="5" t="s">
        <v>27</v>
      </c>
      <c r="C205" s="5" t="s">
        <v>47</v>
      </c>
      <c r="D205" s="5" t="s">
        <v>52</v>
      </c>
      <c r="E205" s="5" t="s">
        <v>42</v>
      </c>
      <c r="F205" s="5" t="s">
        <v>88</v>
      </c>
      <c r="G205" s="5">
        <v>2018</v>
      </c>
      <c r="H205" s="5" t="str">
        <f>CONCATENATE("84210056085")</f>
        <v>84210056085</v>
      </c>
      <c r="I205" s="5" t="s">
        <v>43</v>
      </c>
      <c r="J205" s="5" t="s">
        <v>36</v>
      </c>
      <c r="K205" s="5" t="str">
        <f>CONCATENATE("")</f>
        <v/>
      </c>
      <c r="L205" s="5" t="str">
        <f>CONCATENATE("13 13.1 4a")</f>
        <v>13 13.1 4a</v>
      </c>
      <c r="M205" s="5" t="str">
        <f>CONCATENATE("FRNFST55B20G453E")</f>
        <v>FRNFST55B20G453E</v>
      </c>
      <c r="N205" s="5" t="s">
        <v>306</v>
      </c>
      <c r="O205" s="5" t="s">
        <v>174</v>
      </c>
      <c r="P205" s="6">
        <v>43927</v>
      </c>
      <c r="Q205" s="5" t="s">
        <v>31</v>
      </c>
      <c r="R205" s="5" t="s">
        <v>32</v>
      </c>
      <c r="S205" s="5" t="s">
        <v>33</v>
      </c>
      <c r="T205" s="5"/>
      <c r="U205" s="5">
        <v>59.85</v>
      </c>
      <c r="V205" s="5">
        <v>25.81</v>
      </c>
      <c r="W205" s="5">
        <v>23.83</v>
      </c>
      <c r="X205" s="5">
        <v>0</v>
      </c>
      <c r="Y205" s="5">
        <v>10.210000000000001</v>
      </c>
    </row>
    <row r="206" spans="1:25" x14ac:dyDescent="0.25">
      <c r="A206" s="5" t="s">
        <v>26</v>
      </c>
      <c r="B206" s="5" t="s">
        <v>27</v>
      </c>
      <c r="C206" s="5" t="s">
        <v>47</v>
      </c>
      <c r="D206" s="5" t="s">
        <v>164</v>
      </c>
      <c r="E206" s="5" t="s">
        <v>35</v>
      </c>
      <c r="F206" s="5" t="s">
        <v>224</v>
      </c>
      <c r="G206" s="5">
        <v>2018</v>
      </c>
      <c r="H206" s="5" t="str">
        <f>CONCATENATE("84210245076")</f>
        <v>84210245076</v>
      </c>
      <c r="I206" s="5" t="s">
        <v>29</v>
      </c>
      <c r="J206" s="5" t="s">
        <v>36</v>
      </c>
      <c r="K206" s="5" t="str">
        <f>CONCATENATE("")</f>
        <v/>
      </c>
      <c r="L206" s="5" t="str">
        <f>CONCATENATE("13 13.1 4a")</f>
        <v>13 13.1 4a</v>
      </c>
      <c r="M206" s="5" t="str">
        <f>CONCATENATE("RVRLGU24H17G657O")</f>
        <v>RVRLGU24H17G657O</v>
      </c>
      <c r="N206" s="5" t="s">
        <v>307</v>
      </c>
      <c r="O206" s="5" t="s">
        <v>163</v>
      </c>
      <c r="P206" s="6">
        <v>43927</v>
      </c>
      <c r="Q206" s="5" t="s">
        <v>31</v>
      </c>
      <c r="R206" s="5" t="s">
        <v>32</v>
      </c>
      <c r="S206" s="5" t="s">
        <v>33</v>
      </c>
      <c r="T206" s="5"/>
      <c r="U206" s="5">
        <v>100.22</v>
      </c>
      <c r="V206" s="5">
        <v>43.21</v>
      </c>
      <c r="W206" s="5">
        <v>39.909999999999997</v>
      </c>
      <c r="X206" s="5">
        <v>0</v>
      </c>
      <c r="Y206" s="5">
        <v>17.100000000000001</v>
      </c>
    </row>
    <row r="207" spans="1:25" ht="24.75" x14ac:dyDescent="0.25">
      <c r="A207" s="5" t="s">
        <v>26</v>
      </c>
      <c r="B207" s="5" t="s">
        <v>27</v>
      </c>
      <c r="C207" s="5" t="s">
        <v>47</v>
      </c>
      <c r="D207" s="5" t="s">
        <v>52</v>
      </c>
      <c r="E207" s="5" t="s">
        <v>28</v>
      </c>
      <c r="F207" s="5" t="s">
        <v>98</v>
      </c>
      <c r="G207" s="5">
        <v>2019</v>
      </c>
      <c r="H207" s="5" t="str">
        <f>CONCATENATE("94240233562")</f>
        <v>94240233562</v>
      </c>
      <c r="I207" s="5" t="s">
        <v>29</v>
      </c>
      <c r="J207" s="5" t="s">
        <v>36</v>
      </c>
      <c r="K207" s="5" t="str">
        <f>CONCATENATE("")</f>
        <v/>
      </c>
      <c r="L207" s="5" t="str">
        <f>CONCATENATE("11 11.2 4b")</f>
        <v>11 11.2 4b</v>
      </c>
      <c r="M207" s="5" t="str">
        <f>CONCATENATE("RGNRCR68R18A740Q")</f>
        <v>RGNRCR68R18A740Q</v>
      </c>
      <c r="N207" s="5" t="s">
        <v>308</v>
      </c>
      <c r="O207" s="5" t="s">
        <v>172</v>
      </c>
      <c r="P207" s="6">
        <v>43927</v>
      </c>
      <c r="Q207" s="5" t="s">
        <v>31</v>
      </c>
      <c r="R207" s="5" t="s">
        <v>32</v>
      </c>
      <c r="S207" s="5" t="s">
        <v>33</v>
      </c>
      <c r="T207" s="5"/>
      <c r="U207" s="5">
        <v>93.41</v>
      </c>
      <c r="V207" s="5">
        <v>40.28</v>
      </c>
      <c r="W207" s="5">
        <v>37.200000000000003</v>
      </c>
      <c r="X207" s="5">
        <v>0</v>
      </c>
      <c r="Y207" s="5">
        <v>15.93</v>
      </c>
    </row>
    <row r="208" spans="1:25" ht="24.75" x14ac:dyDescent="0.25">
      <c r="A208" s="5" t="s">
        <v>26</v>
      </c>
      <c r="B208" s="5" t="s">
        <v>27</v>
      </c>
      <c r="C208" s="5" t="s">
        <v>47</v>
      </c>
      <c r="D208" s="5" t="s">
        <v>48</v>
      </c>
      <c r="E208" s="5" t="s">
        <v>35</v>
      </c>
      <c r="F208" s="5" t="s">
        <v>85</v>
      </c>
      <c r="G208" s="5">
        <v>2016</v>
      </c>
      <c r="H208" s="5" t="str">
        <f>CONCATENATE("64210146649")</f>
        <v>64210146649</v>
      </c>
      <c r="I208" s="5" t="s">
        <v>29</v>
      </c>
      <c r="J208" s="5" t="s">
        <v>36</v>
      </c>
      <c r="K208" s="5" t="str">
        <f>CONCATENATE("")</f>
        <v/>
      </c>
      <c r="L208" s="5" t="str">
        <f>CONCATENATE("13 13.1 4a")</f>
        <v>13 13.1 4a</v>
      </c>
      <c r="M208" s="5" t="str">
        <f>CONCATENATE("SNTMRT27R27D965E")</f>
        <v>SNTMRT27R27D965E</v>
      </c>
      <c r="N208" s="5" t="s">
        <v>309</v>
      </c>
      <c r="O208" s="5" t="s">
        <v>163</v>
      </c>
      <c r="P208" s="6">
        <v>43927</v>
      </c>
      <c r="Q208" s="5" t="s">
        <v>31</v>
      </c>
      <c r="R208" s="5" t="s">
        <v>32</v>
      </c>
      <c r="S208" s="5" t="s">
        <v>33</v>
      </c>
      <c r="T208" s="5"/>
      <c r="U208" s="5">
        <v>135.97</v>
      </c>
      <c r="V208" s="5">
        <v>58.63</v>
      </c>
      <c r="W208" s="5">
        <v>54.14</v>
      </c>
      <c r="X208" s="5">
        <v>0</v>
      </c>
      <c r="Y208" s="5">
        <v>23.2</v>
      </c>
    </row>
    <row r="209" spans="1:25" ht="24.75" x14ac:dyDescent="0.25">
      <c r="A209" s="5" t="s">
        <v>26</v>
      </c>
      <c r="B209" s="5" t="s">
        <v>27</v>
      </c>
      <c r="C209" s="5" t="s">
        <v>47</v>
      </c>
      <c r="D209" s="5" t="s">
        <v>52</v>
      </c>
      <c r="E209" s="5" t="s">
        <v>28</v>
      </c>
      <c r="F209" s="5" t="s">
        <v>60</v>
      </c>
      <c r="G209" s="5">
        <v>2019</v>
      </c>
      <c r="H209" s="5" t="str">
        <f>CONCATENATE("94210050913")</f>
        <v>94210050913</v>
      </c>
      <c r="I209" s="5" t="s">
        <v>29</v>
      </c>
      <c r="J209" s="5" t="s">
        <v>36</v>
      </c>
      <c r="K209" s="5" t="str">
        <f>CONCATENATE("")</f>
        <v/>
      </c>
      <c r="L209" s="5" t="str">
        <f>CONCATENATE("13 13.1 4a")</f>
        <v>13 13.1 4a</v>
      </c>
      <c r="M209" s="5" t="str">
        <f>CONCATENATE("SLVFNC57L03L500M")</f>
        <v>SLVFNC57L03L500M</v>
      </c>
      <c r="N209" s="5" t="s">
        <v>310</v>
      </c>
      <c r="O209" s="5" t="s">
        <v>163</v>
      </c>
      <c r="P209" s="6">
        <v>43927</v>
      </c>
      <c r="Q209" s="5" t="s">
        <v>31</v>
      </c>
      <c r="R209" s="5" t="s">
        <v>32</v>
      </c>
      <c r="S209" s="5" t="s">
        <v>33</v>
      </c>
      <c r="T209" s="5"/>
      <c r="U209" s="7">
        <v>4219.7</v>
      </c>
      <c r="V209" s="7">
        <v>1819.53</v>
      </c>
      <c r="W209" s="7">
        <v>1680.28</v>
      </c>
      <c r="X209" s="5">
        <v>0</v>
      </c>
      <c r="Y209" s="5">
        <v>719.89</v>
      </c>
    </row>
    <row r="210" spans="1:25" ht="24.75" x14ac:dyDescent="0.25">
      <c r="A210" s="5" t="s">
        <v>26</v>
      </c>
      <c r="B210" s="5" t="s">
        <v>27</v>
      </c>
      <c r="C210" s="5" t="s">
        <v>47</v>
      </c>
      <c r="D210" s="5" t="s">
        <v>48</v>
      </c>
      <c r="E210" s="5" t="s">
        <v>35</v>
      </c>
      <c r="F210" s="5" t="s">
        <v>154</v>
      </c>
      <c r="G210" s="5">
        <v>2019</v>
      </c>
      <c r="H210" s="5" t="str">
        <f>CONCATENATE("94210448182")</f>
        <v>94210448182</v>
      </c>
      <c r="I210" s="5" t="s">
        <v>29</v>
      </c>
      <c r="J210" s="5" t="s">
        <v>36</v>
      </c>
      <c r="K210" s="5" t="str">
        <f>CONCATENATE("")</f>
        <v/>
      </c>
      <c r="L210" s="5" t="str">
        <f>CONCATENATE("13 13.1 4a")</f>
        <v>13 13.1 4a</v>
      </c>
      <c r="M210" s="5" t="str">
        <f>CONCATENATE("STFSRA50A21I461F")</f>
        <v>STFSRA50A21I461F</v>
      </c>
      <c r="N210" s="5" t="s">
        <v>311</v>
      </c>
      <c r="O210" s="5" t="s">
        <v>163</v>
      </c>
      <c r="P210" s="6">
        <v>43927</v>
      </c>
      <c r="Q210" s="5" t="s">
        <v>31</v>
      </c>
      <c r="R210" s="5" t="s">
        <v>32</v>
      </c>
      <c r="S210" s="5" t="s">
        <v>33</v>
      </c>
      <c r="T210" s="5"/>
      <c r="U210" s="7">
        <v>5215.5600000000004</v>
      </c>
      <c r="V210" s="7">
        <v>2248.9499999999998</v>
      </c>
      <c r="W210" s="7">
        <v>2076.84</v>
      </c>
      <c r="X210" s="5">
        <v>0</v>
      </c>
      <c r="Y210" s="5">
        <v>889.77</v>
      </c>
    </row>
    <row r="211" spans="1:25" ht="24.75" x14ac:dyDescent="0.25">
      <c r="A211" s="5" t="s">
        <v>26</v>
      </c>
      <c r="B211" s="5" t="s">
        <v>27</v>
      </c>
      <c r="C211" s="5" t="s">
        <v>47</v>
      </c>
      <c r="D211" s="5" t="s">
        <v>102</v>
      </c>
      <c r="E211" s="5" t="s">
        <v>35</v>
      </c>
      <c r="F211" s="5" t="s">
        <v>103</v>
      </c>
      <c r="G211" s="5">
        <v>2019</v>
      </c>
      <c r="H211" s="5" t="str">
        <f>CONCATENATE("94240922958")</f>
        <v>94240922958</v>
      </c>
      <c r="I211" s="5" t="s">
        <v>29</v>
      </c>
      <c r="J211" s="5" t="s">
        <v>36</v>
      </c>
      <c r="K211" s="5" t="str">
        <f>CONCATENATE("")</f>
        <v/>
      </c>
      <c r="L211" s="5" t="str">
        <f>CONCATENATE("11 11.2 4b")</f>
        <v>11 11.2 4b</v>
      </c>
      <c r="M211" s="5" t="str">
        <f>CONCATENATE("01494110446")</f>
        <v>01494110446</v>
      </c>
      <c r="N211" s="5" t="s">
        <v>312</v>
      </c>
      <c r="O211" s="5" t="s">
        <v>158</v>
      </c>
      <c r="P211" s="6">
        <v>43927</v>
      </c>
      <c r="Q211" s="5" t="s">
        <v>31</v>
      </c>
      <c r="R211" s="5" t="s">
        <v>32</v>
      </c>
      <c r="S211" s="5" t="s">
        <v>33</v>
      </c>
      <c r="T211" s="5"/>
      <c r="U211" s="7">
        <v>2586.42</v>
      </c>
      <c r="V211" s="7">
        <v>1115.26</v>
      </c>
      <c r="W211" s="7">
        <v>1029.9100000000001</v>
      </c>
      <c r="X211" s="5">
        <v>0</v>
      </c>
      <c r="Y211" s="5">
        <v>441.25</v>
      </c>
    </row>
    <row r="212" spans="1:25" ht="24.75" x14ac:dyDescent="0.25">
      <c r="A212" s="5" t="s">
        <v>26</v>
      </c>
      <c r="B212" s="5" t="s">
        <v>27</v>
      </c>
      <c r="C212" s="5" t="s">
        <v>47</v>
      </c>
      <c r="D212" s="5" t="s">
        <v>52</v>
      </c>
      <c r="E212" s="5" t="s">
        <v>28</v>
      </c>
      <c r="F212" s="5" t="s">
        <v>79</v>
      </c>
      <c r="G212" s="5">
        <v>2019</v>
      </c>
      <c r="H212" s="5" t="str">
        <f>CONCATENATE("94210339233")</f>
        <v>94210339233</v>
      </c>
      <c r="I212" s="5" t="s">
        <v>29</v>
      </c>
      <c r="J212" s="5" t="s">
        <v>36</v>
      </c>
      <c r="K212" s="5" t="str">
        <f>CONCATENATE("")</f>
        <v/>
      </c>
      <c r="L212" s="5" t="str">
        <f>CONCATENATE("13 13.1 4a")</f>
        <v>13 13.1 4a</v>
      </c>
      <c r="M212" s="5" t="str">
        <f>CONCATENATE("BRDLSN58L24H958S")</f>
        <v>BRDLSN58L24H958S</v>
      </c>
      <c r="N212" s="5" t="s">
        <v>313</v>
      </c>
      <c r="O212" s="5" t="s">
        <v>174</v>
      </c>
      <c r="P212" s="6">
        <v>43927</v>
      </c>
      <c r="Q212" s="5" t="s">
        <v>31</v>
      </c>
      <c r="R212" s="5" t="s">
        <v>32</v>
      </c>
      <c r="S212" s="5" t="s">
        <v>33</v>
      </c>
      <c r="T212" s="5"/>
      <c r="U212" s="7">
        <v>9000</v>
      </c>
      <c r="V212" s="7">
        <v>3880.8</v>
      </c>
      <c r="W212" s="7">
        <v>3583.8</v>
      </c>
      <c r="X212" s="5">
        <v>0</v>
      </c>
      <c r="Y212" s="7">
        <v>1535.4</v>
      </c>
    </row>
    <row r="213" spans="1:25" x14ac:dyDescent="0.25">
      <c r="A213" s="5" t="s">
        <v>26</v>
      </c>
      <c r="B213" s="5" t="s">
        <v>27</v>
      </c>
      <c r="C213" s="5" t="s">
        <v>47</v>
      </c>
      <c r="D213" s="5" t="s">
        <v>164</v>
      </c>
      <c r="E213" s="5" t="s">
        <v>42</v>
      </c>
      <c r="F213" s="5" t="s">
        <v>247</v>
      </c>
      <c r="G213" s="5">
        <v>2019</v>
      </c>
      <c r="H213" s="5" t="str">
        <f>CONCATENATE("94780054055")</f>
        <v>94780054055</v>
      </c>
      <c r="I213" s="5" t="s">
        <v>29</v>
      </c>
      <c r="J213" s="5" t="s">
        <v>30</v>
      </c>
      <c r="K213" s="5" t="str">
        <f>CONCATENATE("221")</f>
        <v>221</v>
      </c>
      <c r="L213" s="5" t="str">
        <f>CONCATENATE("8 8.1 5e")</f>
        <v>8 8.1 5e</v>
      </c>
      <c r="M213" s="5" t="str">
        <f>CONCATENATE("BRTNRC42B22E694F")</f>
        <v>BRTNRC42B22E694F</v>
      </c>
      <c r="N213" s="5" t="s">
        <v>314</v>
      </c>
      <c r="O213" s="5" t="s">
        <v>178</v>
      </c>
      <c r="P213" s="6">
        <v>43929</v>
      </c>
      <c r="Q213" s="5" t="s">
        <v>31</v>
      </c>
      <c r="R213" s="5" t="s">
        <v>32</v>
      </c>
      <c r="S213" s="5" t="s">
        <v>33</v>
      </c>
      <c r="T213" s="5"/>
      <c r="U213" s="5">
        <v>682.44</v>
      </c>
      <c r="V213" s="5">
        <v>294.27</v>
      </c>
      <c r="W213" s="5">
        <v>271.75</v>
      </c>
      <c r="X213" s="5">
        <v>0</v>
      </c>
      <c r="Y213" s="5">
        <v>116.42</v>
      </c>
    </row>
    <row r="214" spans="1:25" x14ac:dyDescent="0.25">
      <c r="A214" s="5" t="s">
        <v>26</v>
      </c>
      <c r="B214" s="5" t="s">
        <v>27</v>
      </c>
      <c r="C214" s="5" t="s">
        <v>47</v>
      </c>
      <c r="D214" s="5" t="s">
        <v>164</v>
      </c>
      <c r="E214" s="5" t="s">
        <v>42</v>
      </c>
      <c r="F214" s="5" t="s">
        <v>247</v>
      </c>
      <c r="G214" s="5">
        <v>2019</v>
      </c>
      <c r="H214" s="5" t="str">
        <f>CONCATENATE("94780042969")</f>
        <v>94780042969</v>
      </c>
      <c r="I214" s="5" t="s">
        <v>29</v>
      </c>
      <c r="J214" s="5" t="s">
        <v>30</v>
      </c>
      <c r="K214" s="5" t="str">
        <f>CONCATENATE("221")</f>
        <v>221</v>
      </c>
      <c r="L214" s="5" t="str">
        <f>CONCATENATE("8 8.1 5e")</f>
        <v>8 8.1 5e</v>
      </c>
      <c r="M214" s="5" t="str">
        <f>CONCATENATE("BNFGDR60M22E783C")</f>
        <v>BNFGDR60M22E783C</v>
      </c>
      <c r="N214" s="5" t="s">
        <v>315</v>
      </c>
      <c r="O214" s="5" t="s">
        <v>178</v>
      </c>
      <c r="P214" s="6">
        <v>43929</v>
      </c>
      <c r="Q214" s="5" t="s">
        <v>31</v>
      </c>
      <c r="R214" s="5" t="s">
        <v>32</v>
      </c>
      <c r="S214" s="5" t="s">
        <v>33</v>
      </c>
      <c r="T214" s="5"/>
      <c r="U214" s="5">
        <v>380.1</v>
      </c>
      <c r="V214" s="5">
        <v>163.9</v>
      </c>
      <c r="W214" s="5">
        <v>151.36000000000001</v>
      </c>
      <c r="X214" s="5">
        <v>0</v>
      </c>
      <c r="Y214" s="5">
        <v>64.84</v>
      </c>
    </row>
    <row r="215" spans="1:25" x14ac:dyDescent="0.25">
      <c r="A215" s="5" t="s">
        <v>26</v>
      </c>
      <c r="B215" s="5" t="s">
        <v>27</v>
      </c>
      <c r="C215" s="5" t="s">
        <v>47</v>
      </c>
      <c r="D215" s="5" t="s">
        <v>164</v>
      </c>
      <c r="E215" s="5" t="s">
        <v>42</v>
      </c>
      <c r="F215" s="5" t="s">
        <v>316</v>
      </c>
      <c r="G215" s="5">
        <v>2019</v>
      </c>
      <c r="H215" s="5" t="str">
        <f>CONCATENATE("94780055474")</f>
        <v>94780055474</v>
      </c>
      <c r="I215" s="5" t="s">
        <v>29</v>
      </c>
      <c r="J215" s="5" t="s">
        <v>30</v>
      </c>
      <c r="K215" s="5" t="str">
        <f>CONCATENATE("221")</f>
        <v>221</v>
      </c>
      <c r="L215" s="5" t="str">
        <f>CONCATENATE("8 8.1 5e")</f>
        <v>8 8.1 5e</v>
      </c>
      <c r="M215" s="5" t="str">
        <f>CONCATENATE("CRTMSM54T11L366N")</f>
        <v>CRTMSM54T11L366N</v>
      </c>
      <c r="N215" s="5" t="s">
        <v>317</v>
      </c>
      <c r="O215" s="5" t="s">
        <v>178</v>
      </c>
      <c r="P215" s="6">
        <v>43929</v>
      </c>
      <c r="Q215" s="5" t="s">
        <v>31</v>
      </c>
      <c r="R215" s="5" t="s">
        <v>32</v>
      </c>
      <c r="S215" s="5" t="s">
        <v>33</v>
      </c>
      <c r="T215" s="5"/>
      <c r="U215" s="5">
        <v>512</v>
      </c>
      <c r="V215" s="5">
        <v>220.77</v>
      </c>
      <c r="W215" s="5">
        <v>203.88</v>
      </c>
      <c r="X215" s="5">
        <v>0</v>
      </c>
      <c r="Y215" s="5">
        <v>87.35</v>
      </c>
    </row>
    <row r="216" spans="1:25" x14ac:dyDescent="0.25">
      <c r="A216" s="5" t="s">
        <v>26</v>
      </c>
      <c r="B216" s="5" t="s">
        <v>27</v>
      </c>
      <c r="C216" s="5" t="s">
        <v>47</v>
      </c>
      <c r="D216" s="5" t="s">
        <v>164</v>
      </c>
      <c r="E216" s="5" t="s">
        <v>35</v>
      </c>
      <c r="F216" s="5" t="s">
        <v>205</v>
      </c>
      <c r="G216" s="5">
        <v>2019</v>
      </c>
      <c r="H216" s="5" t="str">
        <f>CONCATENATE("94780054386")</f>
        <v>94780054386</v>
      </c>
      <c r="I216" s="5" t="s">
        <v>29</v>
      </c>
      <c r="J216" s="5" t="s">
        <v>30</v>
      </c>
      <c r="K216" s="5" t="str">
        <f>CONCATENATE("221")</f>
        <v>221</v>
      </c>
      <c r="L216" s="5" t="str">
        <f>CONCATENATE("8 8.1 5e")</f>
        <v>8 8.1 5e</v>
      </c>
      <c r="M216" s="5" t="str">
        <f>CONCATENATE("CNSRNN48T69E228M")</f>
        <v>CNSRNN48T69E228M</v>
      </c>
      <c r="N216" s="5" t="s">
        <v>318</v>
      </c>
      <c r="O216" s="5" t="s">
        <v>178</v>
      </c>
      <c r="P216" s="6">
        <v>43929</v>
      </c>
      <c r="Q216" s="5" t="s">
        <v>31</v>
      </c>
      <c r="R216" s="5" t="s">
        <v>32</v>
      </c>
      <c r="S216" s="5" t="s">
        <v>33</v>
      </c>
      <c r="T216" s="5"/>
      <c r="U216" s="5">
        <v>560.70000000000005</v>
      </c>
      <c r="V216" s="5">
        <v>241.77</v>
      </c>
      <c r="W216" s="5">
        <v>223.27</v>
      </c>
      <c r="X216" s="5">
        <v>0</v>
      </c>
      <c r="Y216" s="5">
        <v>95.66</v>
      </c>
    </row>
    <row r="217" spans="1:25" ht="24.75" x14ac:dyDescent="0.25">
      <c r="A217" s="5" t="s">
        <v>26</v>
      </c>
      <c r="B217" s="5" t="s">
        <v>27</v>
      </c>
      <c r="C217" s="5" t="s">
        <v>47</v>
      </c>
      <c r="D217" s="5" t="s">
        <v>52</v>
      </c>
      <c r="E217" s="5" t="s">
        <v>28</v>
      </c>
      <c r="F217" s="5" t="s">
        <v>98</v>
      </c>
      <c r="G217" s="5">
        <v>2019</v>
      </c>
      <c r="H217" s="5" t="str">
        <f>CONCATENATE("94210093186")</f>
        <v>94210093186</v>
      </c>
      <c r="I217" s="5" t="s">
        <v>29</v>
      </c>
      <c r="J217" s="5" t="s">
        <v>36</v>
      </c>
      <c r="K217" s="5" t="str">
        <f>CONCATENATE("")</f>
        <v/>
      </c>
      <c r="L217" s="5" t="str">
        <f>CONCATENATE("13 13.1 4a")</f>
        <v>13 13.1 4a</v>
      </c>
      <c r="M217" s="5" t="str">
        <f>CONCATENATE("BRVNGL29S14B816I")</f>
        <v>BRVNGL29S14B816I</v>
      </c>
      <c r="N217" s="5" t="s">
        <v>319</v>
      </c>
      <c r="O217" s="5" t="s">
        <v>174</v>
      </c>
      <c r="P217" s="6">
        <v>43927</v>
      </c>
      <c r="Q217" s="5" t="s">
        <v>31</v>
      </c>
      <c r="R217" s="5" t="s">
        <v>32</v>
      </c>
      <c r="S217" s="5" t="s">
        <v>33</v>
      </c>
      <c r="T217" s="5"/>
      <c r="U217" s="5">
        <v>558.22</v>
      </c>
      <c r="V217" s="5">
        <v>240.7</v>
      </c>
      <c r="W217" s="5">
        <v>222.28</v>
      </c>
      <c r="X217" s="5">
        <v>0</v>
      </c>
      <c r="Y217" s="5">
        <v>95.24</v>
      </c>
    </row>
    <row r="218" spans="1:25" ht="24.75" x14ac:dyDescent="0.25">
      <c r="A218" s="5" t="s">
        <v>26</v>
      </c>
      <c r="B218" s="5" t="s">
        <v>27</v>
      </c>
      <c r="C218" s="5" t="s">
        <v>47</v>
      </c>
      <c r="D218" s="5" t="s">
        <v>52</v>
      </c>
      <c r="E218" s="5" t="s">
        <v>28</v>
      </c>
      <c r="F218" s="5" t="s">
        <v>77</v>
      </c>
      <c r="G218" s="5">
        <v>2019</v>
      </c>
      <c r="H218" s="5" t="str">
        <f>CONCATENATE("94210711548")</f>
        <v>94210711548</v>
      </c>
      <c r="I218" s="5" t="s">
        <v>29</v>
      </c>
      <c r="J218" s="5" t="s">
        <v>36</v>
      </c>
      <c r="K218" s="5" t="str">
        <f>CONCATENATE("")</f>
        <v/>
      </c>
      <c r="L218" s="5" t="str">
        <f>CONCATENATE("13 13.1 4a")</f>
        <v>13 13.1 4a</v>
      </c>
      <c r="M218" s="5" t="str">
        <f>CONCATENATE("FLVCLF45H01G453Z")</f>
        <v>FLVCLF45H01G453Z</v>
      </c>
      <c r="N218" s="5" t="s">
        <v>320</v>
      </c>
      <c r="O218" s="5" t="s">
        <v>174</v>
      </c>
      <c r="P218" s="6">
        <v>43927</v>
      </c>
      <c r="Q218" s="5" t="s">
        <v>31</v>
      </c>
      <c r="R218" s="5" t="s">
        <v>32</v>
      </c>
      <c r="S218" s="5" t="s">
        <v>33</v>
      </c>
      <c r="T218" s="5"/>
      <c r="U218" s="7">
        <v>7618.6</v>
      </c>
      <c r="V218" s="7">
        <v>3285.14</v>
      </c>
      <c r="W218" s="7">
        <v>3033.73</v>
      </c>
      <c r="X218" s="5">
        <v>0</v>
      </c>
      <c r="Y218" s="7">
        <v>1299.73</v>
      </c>
    </row>
    <row r="219" spans="1:25" ht="24.75" x14ac:dyDescent="0.25">
      <c r="A219" s="5" t="s">
        <v>26</v>
      </c>
      <c r="B219" s="5" t="s">
        <v>27</v>
      </c>
      <c r="C219" s="5" t="s">
        <v>47</v>
      </c>
      <c r="D219" s="5" t="s">
        <v>52</v>
      </c>
      <c r="E219" s="5" t="s">
        <v>35</v>
      </c>
      <c r="F219" s="5" t="s">
        <v>66</v>
      </c>
      <c r="G219" s="5">
        <v>2019</v>
      </c>
      <c r="H219" s="5" t="str">
        <f>CONCATENATE("94210584937")</f>
        <v>94210584937</v>
      </c>
      <c r="I219" s="5" t="s">
        <v>29</v>
      </c>
      <c r="J219" s="5" t="s">
        <v>36</v>
      </c>
      <c r="K219" s="5" t="str">
        <f>CONCATENATE("")</f>
        <v/>
      </c>
      <c r="L219" s="5" t="str">
        <f>CONCATENATE("13 13.1 4a")</f>
        <v>13 13.1 4a</v>
      </c>
      <c r="M219" s="5" t="str">
        <f>CONCATENATE("GRSMNL61D65F205W")</f>
        <v>GRSMNL61D65F205W</v>
      </c>
      <c r="N219" s="5" t="s">
        <v>321</v>
      </c>
      <c r="O219" s="5" t="s">
        <v>174</v>
      </c>
      <c r="P219" s="6">
        <v>43927</v>
      </c>
      <c r="Q219" s="5" t="s">
        <v>31</v>
      </c>
      <c r="R219" s="5" t="s">
        <v>32</v>
      </c>
      <c r="S219" s="5" t="s">
        <v>33</v>
      </c>
      <c r="T219" s="5"/>
      <c r="U219" s="7">
        <v>6006.08</v>
      </c>
      <c r="V219" s="7">
        <v>2589.8200000000002</v>
      </c>
      <c r="W219" s="7">
        <v>2391.62</v>
      </c>
      <c r="X219" s="5">
        <v>0</v>
      </c>
      <c r="Y219" s="7">
        <v>1024.6400000000001</v>
      </c>
    </row>
    <row r="220" spans="1:25" ht="24.75" x14ac:dyDescent="0.25">
      <c r="A220" s="5" t="s">
        <v>26</v>
      </c>
      <c r="B220" s="5" t="s">
        <v>34</v>
      </c>
      <c r="C220" s="5" t="s">
        <v>47</v>
      </c>
      <c r="D220" s="5" t="s">
        <v>52</v>
      </c>
      <c r="E220" s="5" t="s">
        <v>28</v>
      </c>
      <c r="F220" s="5" t="s">
        <v>60</v>
      </c>
      <c r="G220" s="5">
        <v>2017</v>
      </c>
      <c r="H220" s="5" t="str">
        <f>CONCATENATE("94270173639")</f>
        <v>94270173639</v>
      </c>
      <c r="I220" s="5" t="s">
        <v>29</v>
      </c>
      <c r="J220" s="5" t="s">
        <v>36</v>
      </c>
      <c r="K220" s="5" t="str">
        <f>CONCATENATE("")</f>
        <v/>
      </c>
      <c r="L220" s="5" t="str">
        <f>CONCATENATE("8 8.1 5e")</f>
        <v>8 8.1 5e</v>
      </c>
      <c r="M220" s="5" t="str">
        <f>CONCATENATE("MRNFNC46L05I287W")</f>
        <v>MRNFNC46L05I287W</v>
      </c>
      <c r="N220" s="5" t="s">
        <v>130</v>
      </c>
      <c r="O220" s="5" t="s">
        <v>322</v>
      </c>
      <c r="P220" s="6">
        <v>43927</v>
      </c>
      <c r="Q220" s="5" t="s">
        <v>31</v>
      </c>
      <c r="R220" s="5" t="s">
        <v>32</v>
      </c>
      <c r="S220" s="5" t="s">
        <v>33</v>
      </c>
      <c r="T220" s="5"/>
      <c r="U220" s="7">
        <v>10771.22</v>
      </c>
      <c r="V220" s="7">
        <v>4644.55</v>
      </c>
      <c r="W220" s="7">
        <v>4289.1000000000004</v>
      </c>
      <c r="X220" s="5">
        <v>0</v>
      </c>
      <c r="Y220" s="7">
        <v>1837.57</v>
      </c>
    </row>
    <row r="221" spans="1:25" x14ac:dyDescent="0.25">
      <c r="A221" s="5" t="s">
        <v>26</v>
      </c>
      <c r="B221" s="5" t="s">
        <v>27</v>
      </c>
      <c r="C221" s="5" t="s">
        <v>47</v>
      </c>
      <c r="D221" s="5" t="s">
        <v>164</v>
      </c>
      <c r="E221" s="5" t="s">
        <v>35</v>
      </c>
      <c r="F221" s="5" t="s">
        <v>224</v>
      </c>
      <c r="G221" s="5">
        <v>2018</v>
      </c>
      <c r="H221" s="5" t="str">
        <f>CONCATENATE("84240271183")</f>
        <v>84240271183</v>
      </c>
      <c r="I221" s="5" t="s">
        <v>29</v>
      </c>
      <c r="J221" s="5" t="s">
        <v>36</v>
      </c>
      <c r="K221" s="5" t="str">
        <f>CONCATENATE("")</f>
        <v/>
      </c>
      <c r="L221" s="5" t="str">
        <f>CONCATENATE("10 10.1 4a")</f>
        <v>10 10.1 4a</v>
      </c>
      <c r="M221" s="5" t="str">
        <f>CONCATENATE("FBRFST81T23B474X")</f>
        <v>FBRFST81T23B474X</v>
      </c>
      <c r="N221" s="5" t="s">
        <v>323</v>
      </c>
      <c r="O221" s="5" t="s">
        <v>324</v>
      </c>
      <c r="P221" s="6">
        <v>43927</v>
      </c>
      <c r="Q221" s="5" t="s">
        <v>31</v>
      </c>
      <c r="R221" s="5" t="s">
        <v>32</v>
      </c>
      <c r="S221" s="5" t="s">
        <v>33</v>
      </c>
      <c r="T221" s="5"/>
      <c r="U221" s="7">
        <v>8217.23</v>
      </c>
      <c r="V221" s="7">
        <v>3543.27</v>
      </c>
      <c r="W221" s="7">
        <v>3272.1</v>
      </c>
      <c r="X221" s="5">
        <v>0</v>
      </c>
      <c r="Y221" s="7">
        <v>1401.86</v>
      </c>
    </row>
    <row r="222" spans="1:25" ht="24.75" x14ac:dyDescent="0.25">
      <c r="A222" s="5" t="s">
        <v>26</v>
      </c>
      <c r="B222" s="5" t="s">
        <v>27</v>
      </c>
      <c r="C222" s="5" t="s">
        <v>47</v>
      </c>
      <c r="D222" s="5" t="s">
        <v>52</v>
      </c>
      <c r="E222" s="5" t="s">
        <v>35</v>
      </c>
      <c r="F222" s="5" t="s">
        <v>91</v>
      </c>
      <c r="G222" s="5">
        <v>2018</v>
      </c>
      <c r="H222" s="5" t="str">
        <f>CONCATENATE("84240526479")</f>
        <v>84240526479</v>
      </c>
      <c r="I222" s="5" t="s">
        <v>29</v>
      </c>
      <c r="J222" s="5" t="s">
        <v>36</v>
      </c>
      <c r="K222" s="5" t="str">
        <f>CONCATENATE("")</f>
        <v/>
      </c>
      <c r="L222" s="5" t="str">
        <f>CONCATENATE("10 10.1 4a")</f>
        <v>10 10.1 4a</v>
      </c>
      <c r="M222" s="5" t="str">
        <f>CONCATENATE("RMTFST55R10G478J")</f>
        <v>RMTFST55R10G478J</v>
      </c>
      <c r="N222" s="5" t="s">
        <v>325</v>
      </c>
      <c r="O222" s="5" t="s">
        <v>324</v>
      </c>
      <c r="P222" s="6">
        <v>43927</v>
      </c>
      <c r="Q222" s="5" t="s">
        <v>31</v>
      </c>
      <c r="R222" s="5" t="s">
        <v>32</v>
      </c>
      <c r="S222" s="5" t="s">
        <v>33</v>
      </c>
      <c r="T222" s="5"/>
      <c r="U222" s="7">
        <v>4000</v>
      </c>
      <c r="V222" s="7">
        <v>1724.8</v>
      </c>
      <c r="W222" s="7">
        <v>1592.8</v>
      </c>
      <c r="X222" s="5">
        <v>0</v>
      </c>
      <c r="Y222" s="5">
        <v>682.4</v>
      </c>
    </row>
    <row r="223" spans="1:25" x14ac:dyDescent="0.25">
      <c r="A223" s="5" t="s">
        <v>26</v>
      </c>
      <c r="B223" s="5" t="s">
        <v>27</v>
      </c>
      <c r="C223" s="5" t="s">
        <v>47</v>
      </c>
      <c r="D223" s="5" t="s">
        <v>164</v>
      </c>
      <c r="E223" s="5" t="s">
        <v>35</v>
      </c>
      <c r="F223" s="5" t="s">
        <v>224</v>
      </c>
      <c r="G223" s="5">
        <v>2019</v>
      </c>
      <c r="H223" s="5" t="str">
        <f>CONCATENATE("94240111693")</f>
        <v>94240111693</v>
      </c>
      <c r="I223" s="5" t="s">
        <v>29</v>
      </c>
      <c r="J223" s="5" t="s">
        <v>36</v>
      </c>
      <c r="K223" s="5" t="str">
        <f>CONCATENATE("")</f>
        <v/>
      </c>
      <c r="L223" s="5" t="str">
        <f>CONCATENATE("10 10.1 4a")</f>
        <v>10 10.1 4a</v>
      </c>
      <c r="M223" s="5" t="str">
        <f>CONCATENATE("CRSSRA89H64B474Q")</f>
        <v>CRSSRA89H64B474Q</v>
      </c>
      <c r="N223" s="5" t="s">
        <v>326</v>
      </c>
      <c r="O223" s="5" t="s">
        <v>324</v>
      </c>
      <c r="P223" s="6">
        <v>43927</v>
      </c>
      <c r="Q223" s="5" t="s">
        <v>31</v>
      </c>
      <c r="R223" s="5" t="s">
        <v>32</v>
      </c>
      <c r="S223" s="5" t="s">
        <v>33</v>
      </c>
      <c r="T223" s="5"/>
      <c r="U223" s="7">
        <v>1214.1300000000001</v>
      </c>
      <c r="V223" s="5">
        <v>523.53</v>
      </c>
      <c r="W223" s="5">
        <v>483.47</v>
      </c>
      <c r="X223" s="5">
        <v>0</v>
      </c>
      <c r="Y223" s="5">
        <v>207.13</v>
      </c>
    </row>
    <row r="224" spans="1:25" x14ac:dyDescent="0.25">
      <c r="A224" s="5" t="s">
        <v>26</v>
      </c>
      <c r="B224" s="5" t="s">
        <v>27</v>
      </c>
      <c r="C224" s="5" t="s">
        <v>47</v>
      </c>
      <c r="D224" s="5" t="s">
        <v>164</v>
      </c>
      <c r="E224" s="5" t="s">
        <v>45</v>
      </c>
      <c r="F224" s="5" t="s">
        <v>201</v>
      </c>
      <c r="G224" s="5">
        <v>2019</v>
      </c>
      <c r="H224" s="5" t="str">
        <f>CONCATENATE("94240594153")</f>
        <v>94240594153</v>
      </c>
      <c r="I224" s="5" t="s">
        <v>29</v>
      </c>
      <c r="J224" s="5" t="s">
        <v>36</v>
      </c>
      <c r="K224" s="5" t="str">
        <f>CONCATENATE("")</f>
        <v/>
      </c>
      <c r="L224" s="5" t="str">
        <f>CONCATENATE("10 10.1 4a")</f>
        <v>10 10.1 4a</v>
      </c>
      <c r="M224" s="5" t="str">
        <f>CONCATENATE("DLCNDR54T10I661S")</f>
        <v>DLCNDR54T10I661S</v>
      </c>
      <c r="N224" s="5" t="s">
        <v>327</v>
      </c>
      <c r="O224" s="5" t="s">
        <v>324</v>
      </c>
      <c r="P224" s="6">
        <v>43927</v>
      </c>
      <c r="Q224" s="5" t="s">
        <v>31</v>
      </c>
      <c r="R224" s="5" t="s">
        <v>32</v>
      </c>
      <c r="S224" s="5" t="s">
        <v>33</v>
      </c>
      <c r="T224" s="5"/>
      <c r="U224" s="5">
        <v>665.03</v>
      </c>
      <c r="V224" s="5">
        <v>286.76</v>
      </c>
      <c r="W224" s="5">
        <v>264.81</v>
      </c>
      <c r="X224" s="5">
        <v>0</v>
      </c>
      <c r="Y224" s="5">
        <v>113.46</v>
      </c>
    </row>
    <row r="225" spans="1:25" x14ac:dyDescent="0.25">
      <c r="A225" s="5" t="s">
        <v>26</v>
      </c>
      <c r="B225" s="5" t="s">
        <v>27</v>
      </c>
      <c r="C225" s="5" t="s">
        <v>47</v>
      </c>
      <c r="D225" s="5" t="s">
        <v>164</v>
      </c>
      <c r="E225" s="5" t="s">
        <v>35</v>
      </c>
      <c r="F225" s="5" t="s">
        <v>224</v>
      </c>
      <c r="G225" s="5">
        <v>2018</v>
      </c>
      <c r="H225" s="5" t="str">
        <f>CONCATENATE("84240171359")</f>
        <v>84240171359</v>
      </c>
      <c r="I225" s="5" t="s">
        <v>29</v>
      </c>
      <c r="J225" s="5" t="s">
        <v>36</v>
      </c>
      <c r="K225" s="5" t="str">
        <f>CONCATENATE("")</f>
        <v/>
      </c>
      <c r="L225" s="5" t="str">
        <f>CONCATENATE("10 10.1 4a")</f>
        <v>10 10.1 4a</v>
      </c>
      <c r="M225" s="5" t="str">
        <f>CONCATENATE("FDLZEI48B19I661A")</f>
        <v>FDLZEI48B19I661A</v>
      </c>
      <c r="N225" s="5" t="s">
        <v>328</v>
      </c>
      <c r="O225" s="5" t="s">
        <v>324</v>
      </c>
      <c r="P225" s="6">
        <v>43927</v>
      </c>
      <c r="Q225" s="5" t="s">
        <v>31</v>
      </c>
      <c r="R225" s="5" t="s">
        <v>32</v>
      </c>
      <c r="S225" s="5" t="s">
        <v>33</v>
      </c>
      <c r="T225" s="5"/>
      <c r="U225" s="7">
        <v>2493.79</v>
      </c>
      <c r="V225" s="7">
        <v>1075.32</v>
      </c>
      <c r="W225" s="5">
        <v>993.03</v>
      </c>
      <c r="X225" s="5">
        <v>0</v>
      </c>
      <c r="Y225" s="5">
        <v>425.44</v>
      </c>
    </row>
    <row r="226" spans="1:25" ht="24.75" x14ac:dyDescent="0.25">
      <c r="A226" s="5" t="s">
        <v>26</v>
      </c>
      <c r="B226" s="5" t="s">
        <v>27</v>
      </c>
      <c r="C226" s="5" t="s">
        <v>47</v>
      </c>
      <c r="D226" s="5" t="s">
        <v>52</v>
      </c>
      <c r="E226" s="5" t="s">
        <v>28</v>
      </c>
      <c r="F226" s="5" t="s">
        <v>79</v>
      </c>
      <c r="G226" s="5">
        <v>2018</v>
      </c>
      <c r="H226" s="5" t="str">
        <f>CONCATENATE("84240092977")</f>
        <v>84240092977</v>
      </c>
      <c r="I226" s="5" t="s">
        <v>43</v>
      </c>
      <c r="J226" s="5" t="s">
        <v>36</v>
      </c>
      <c r="K226" s="5" t="str">
        <f>CONCATENATE("")</f>
        <v/>
      </c>
      <c r="L226" s="5" t="str">
        <f>CONCATENATE("10 10.1 4a")</f>
        <v>10 10.1 4a</v>
      </c>
      <c r="M226" s="5" t="str">
        <f>CONCATENATE("BRTVDO57S10D791G")</f>
        <v>BRTVDO57S10D791G</v>
      </c>
      <c r="N226" s="5" t="s">
        <v>329</v>
      </c>
      <c r="O226" s="5" t="s">
        <v>324</v>
      </c>
      <c r="P226" s="6">
        <v>43927</v>
      </c>
      <c r="Q226" s="5" t="s">
        <v>31</v>
      </c>
      <c r="R226" s="5" t="s">
        <v>32</v>
      </c>
      <c r="S226" s="5" t="s">
        <v>33</v>
      </c>
      <c r="T226" s="5"/>
      <c r="U226" s="5">
        <v>540.54</v>
      </c>
      <c r="V226" s="5">
        <v>233.08</v>
      </c>
      <c r="W226" s="5">
        <v>215.24</v>
      </c>
      <c r="X226" s="5">
        <v>0</v>
      </c>
      <c r="Y226" s="5">
        <v>92.22</v>
      </c>
    </row>
    <row r="227" spans="1:25" x14ac:dyDescent="0.25">
      <c r="A227" s="5" t="s">
        <v>26</v>
      </c>
      <c r="B227" s="5" t="s">
        <v>27</v>
      </c>
      <c r="C227" s="5" t="s">
        <v>47</v>
      </c>
      <c r="D227" s="5" t="s">
        <v>164</v>
      </c>
      <c r="E227" s="5" t="s">
        <v>35</v>
      </c>
      <c r="F227" s="5" t="s">
        <v>224</v>
      </c>
      <c r="G227" s="5">
        <v>2019</v>
      </c>
      <c r="H227" s="5" t="str">
        <f>CONCATENATE("94240655152")</f>
        <v>94240655152</v>
      </c>
      <c r="I227" s="5" t="s">
        <v>29</v>
      </c>
      <c r="J227" s="5" t="s">
        <v>36</v>
      </c>
      <c r="K227" s="5" t="str">
        <f>CONCATENATE("")</f>
        <v/>
      </c>
      <c r="L227" s="5" t="str">
        <f>CONCATENATE("10 10.1 4a")</f>
        <v>10 10.1 4a</v>
      </c>
      <c r="M227" s="5" t="str">
        <f>CONCATENATE("PZZPTR34A27C267C")</f>
        <v>PZZPTR34A27C267C</v>
      </c>
      <c r="N227" s="5" t="s">
        <v>330</v>
      </c>
      <c r="O227" s="5" t="s">
        <v>324</v>
      </c>
      <c r="P227" s="6">
        <v>43927</v>
      </c>
      <c r="Q227" s="5" t="s">
        <v>31</v>
      </c>
      <c r="R227" s="5" t="s">
        <v>32</v>
      </c>
      <c r="S227" s="5" t="s">
        <v>33</v>
      </c>
      <c r="T227" s="5"/>
      <c r="U227" s="7">
        <v>15601.38</v>
      </c>
      <c r="V227" s="7">
        <v>6727.32</v>
      </c>
      <c r="W227" s="7">
        <v>6212.47</v>
      </c>
      <c r="X227" s="5">
        <v>0</v>
      </c>
      <c r="Y227" s="7">
        <v>2661.59</v>
      </c>
    </row>
    <row r="228" spans="1:25" x14ac:dyDescent="0.25">
      <c r="A228" s="5" t="s">
        <v>26</v>
      </c>
      <c r="B228" s="5" t="s">
        <v>27</v>
      </c>
      <c r="C228" s="5" t="s">
        <v>47</v>
      </c>
      <c r="D228" s="5" t="s">
        <v>164</v>
      </c>
      <c r="E228" s="5" t="s">
        <v>40</v>
      </c>
      <c r="F228" s="5" t="s">
        <v>165</v>
      </c>
      <c r="G228" s="5">
        <v>2018</v>
      </c>
      <c r="H228" s="5" t="str">
        <f>CONCATENATE("84241063175")</f>
        <v>84241063175</v>
      </c>
      <c r="I228" s="5" t="s">
        <v>29</v>
      </c>
      <c r="J228" s="5" t="s">
        <v>36</v>
      </c>
      <c r="K228" s="5" t="str">
        <f>CONCATENATE("")</f>
        <v/>
      </c>
      <c r="L228" s="5" t="str">
        <f>CONCATENATE("10 10.1 4a")</f>
        <v>10 10.1 4a</v>
      </c>
      <c r="M228" s="5" t="str">
        <f>CONCATENATE("01741610438")</f>
        <v>01741610438</v>
      </c>
      <c r="N228" s="5" t="s">
        <v>331</v>
      </c>
      <c r="O228" s="5" t="s">
        <v>324</v>
      </c>
      <c r="P228" s="6">
        <v>43927</v>
      </c>
      <c r="Q228" s="5" t="s">
        <v>31</v>
      </c>
      <c r="R228" s="5" t="s">
        <v>32</v>
      </c>
      <c r="S228" s="5" t="s">
        <v>33</v>
      </c>
      <c r="T228" s="5"/>
      <c r="U228" s="7">
        <v>1233.48</v>
      </c>
      <c r="V228" s="5">
        <v>531.88</v>
      </c>
      <c r="W228" s="5">
        <v>491.17</v>
      </c>
      <c r="X228" s="5">
        <v>0</v>
      </c>
      <c r="Y228" s="5">
        <v>210.43</v>
      </c>
    </row>
    <row r="229" spans="1:25" x14ac:dyDescent="0.25">
      <c r="A229" s="5" t="s">
        <v>26</v>
      </c>
      <c r="B229" s="5" t="s">
        <v>27</v>
      </c>
      <c r="C229" s="5" t="s">
        <v>47</v>
      </c>
      <c r="D229" s="5" t="s">
        <v>164</v>
      </c>
      <c r="E229" s="5" t="s">
        <v>35</v>
      </c>
      <c r="F229" s="5" t="s">
        <v>224</v>
      </c>
      <c r="G229" s="5">
        <v>2019</v>
      </c>
      <c r="H229" s="5" t="str">
        <f>CONCATENATE("94240941743")</f>
        <v>94240941743</v>
      </c>
      <c r="I229" s="5" t="s">
        <v>29</v>
      </c>
      <c r="J229" s="5" t="s">
        <v>36</v>
      </c>
      <c r="K229" s="5" t="str">
        <f>CONCATENATE("")</f>
        <v/>
      </c>
      <c r="L229" s="5" t="str">
        <f>CONCATENATE("10 10.1 4a")</f>
        <v>10 10.1 4a</v>
      </c>
      <c r="M229" s="5" t="str">
        <f>CONCATENATE("SBBLCU94S41B474M")</f>
        <v>SBBLCU94S41B474M</v>
      </c>
      <c r="N229" s="5" t="s">
        <v>332</v>
      </c>
      <c r="O229" s="5" t="s">
        <v>324</v>
      </c>
      <c r="P229" s="6">
        <v>43927</v>
      </c>
      <c r="Q229" s="5" t="s">
        <v>31</v>
      </c>
      <c r="R229" s="5" t="s">
        <v>32</v>
      </c>
      <c r="S229" s="5" t="s">
        <v>33</v>
      </c>
      <c r="T229" s="5"/>
      <c r="U229" s="7">
        <v>7916.12</v>
      </c>
      <c r="V229" s="7">
        <v>3413.43</v>
      </c>
      <c r="W229" s="7">
        <v>3152.2</v>
      </c>
      <c r="X229" s="5">
        <v>0</v>
      </c>
      <c r="Y229" s="7">
        <v>1350.49</v>
      </c>
    </row>
    <row r="230" spans="1:25" x14ac:dyDescent="0.25">
      <c r="A230" s="5" t="s">
        <v>26</v>
      </c>
      <c r="B230" s="5" t="s">
        <v>27</v>
      </c>
      <c r="C230" s="5" t="s">
        <v>47</v>
      </c>
      <c r="D230" s="5" t="s">
        <v>164</v>
      </c>
      <c r="E230" s="5" t="s">
        <v>35</v>
      </c>
      <c r="F230" s="5" t="s">
        <v>224</v>
      </c>
      <c r="G230" s="5">
        <v>2019</v>
      </c>
      <c r="H230" s="5" t="str">
        <f>CONCATENATE("94240408297")</f>
        <v>94240408297</v>
      </c>
      <c r="I230" s="5" t="s">
        <v>29</v>
      </c>
      <c r="J230" s="5" t="s">
        <v>36</v>
      </c>
      <c r="K230" s="5" t="str">
        <f>CONCATENATE("")</f>
        <v/>
      </c>
      <c r="L230" s="5" t="str">
        <f>CONCATENATE("10 10.1 4a")</f>
        <v>10 10.1 4a</v>
      </c>
      <c r="M230" s="5" t="str">
        <f>CONCATENATE("FDLZEI48B19I661A")</f>
        <v>FDLZEI48B19I661A</v>
      </c>
      <c r="N230" s="5" t="s">
        <v>328</v>
      </c>
      <c r="O230" s="5" t="s">
        <v>324</v>
      </c>
      <c r="P230" s="6">
        <v>43927</v>
      </c>
      <c r="Q230" s="5" t="s">
        <v>31</v>
      </c>
      <c r="R230" s="5" t="s">
        <v>32</v>
      </c>
      <c r="S230" s="5" t="s">
        <v>33</v>
      </c>
      <c r="T230" s="5"/>
      <c r="U230" s="7">
        <v>2391.4899999999998</v>
      </c>
      <c r="V230" s="7">
        <v>1031.21</v>
      </c>
      <c r="W230" s="5">
        <v>952.29</v>
      </c>
      <c r="X230" s="5">
        <v>0</v>
      </c>
      <c r="Y230" s="5">
        <v>407.99</v>
      </c>
    </row>
    <row r="231" spans="1:25" ht="24.75" x14ac:dyDescent="0.25">
      <c r="A231" s="5" t="s">
        <v>26</v>
      </c>
      <c r="B231" s="5" t="s">
        <v>27</v>
      </c>
      <c r="C231" s="5" t="s">
        <v>47</v>
      </c>
      <c r="D231" s="5" t="s">
        <v>52</v>
      </c>
      <c r="E231" s="5" t="s">
        <v>28</v>
      </c>
      <c r="F231" s="5" t="s">
        <v>79</v>
      </c>
      <c r="G231" s="5">
        <v>2018</v>
      </c>
      <c r="H231" s="5" t="str">
        <f>CONCATENATE("84240000772")</f>
        <v>84240000772</v>
      </c>
      <c r="I231" s="5" t="s">
        <v>29</v>
      </c>
      <c r="J231" s="5" t="s">
        <v>36</v>
      </c>
      <c r="K231" s="5" t="str">
        <f>CONCATENATE("")</f>
        <v/>
      </c>
      <c r="L231" s="5" t="str">
        <f>CONCATENATE("10 10.1 4a")</f>
        <v>10 10.1 4a</v>
      </c>
      <c r="M231" s="5" t="str">
        <f>CONCATENATE("CRDTNI53S49D791C")</f>
        <v>CRDTNI53S49D791C</v>
      </c>
      <c r="N231" s="5" t="s">
        <v>333</v>
      </c>
      <c r="O231" s="5" t="s">
        <v>324</v>
      </c>
      <c r="P231" s="6">
        <v>43927</v>
      </c>
      <c r="Q231" s="5" t="s">
        <v>31</v>
      </c>
      <c r="R231" s="5" t="s">
        <v>32</v>
      </c>
      <c r="S231" s="5" t="s">
        <v>33</v>
      </c>
      <c r="T231" s="5"/>
      <c r="U231" s="5">
        <v>396</v>
      </c>
      <c r="V231" s="5">
        <v>170.76</v>
      </c>
      <c r="W231" s="5">
        <v>157.69</v>
      </c>
      <c r="X231" s="5">
        <v>0</v>
      </c>
      <c r="Y231" s="5">
        <v>67.55</v>
      </c>
    </row>
    <row r="232" spans="1:25" x14ac:dyDescent="0.25">
      <c r="A232" s="5" t="s">
        <v>26</v>
      </c>
      <c r="B232" s="5" t="s">
        <v>34</v>
      </c>
      <c r="C232" s="5" t="s">
        <v>47</v>
      </c>
      <c r="D232" s="5" t="s">
        <v>164</v>
      </c>
      <c r="E232" s="5" t="s">
        <v>39</v>
      </c>
      <c r="F232" s="5" t="s">
        <v>39</v>
      </c>
      <c r="G232" s="5">
        <v>2017</v>
      </c>
      <c r="H232" s="5" t="str">
        <f>CONCATENATE("94270173605")</f>
        <v>94270173605</v>
      </c>
      <c r="I232" s="5" t="s">
        <v>29</v>
      </c>
      <c r="J232" s="5" t="s">
        <v>36</v>
      </c>
      <c r="K232" s="5" t="str">
        <f>CONCATENATE("")</f>
        <v/>
      </c>
      <c r="L232" s="5" t="str">
        <f>CONCATENATE("6 6.1 2b")</f>
        <v>6 6.1 2b</v>
      </c>
      <c r="M232" s="5" t="str">
        <f>CONCATENATE("CMPLRI86A52I156H")</f>
        <v>CMPLRI86A52I156H</v>
      </c>
      <c r="N232" s="5" t="s">
        <v>334</v>
      </c>
      <c r="O232" s="5" t="s">
        <v>335</v>
      </c>
      <c r="P232" s="6">
        <v>43927</v>
      </c>
      <c r="Q232" s="5" t="s">
        <v>31</v>
      </c>
      <c r="R232" s="5" t="s">
        <v>32</v>
      </c>
      <c r="S232" s="5" t="s">
        <v>33</v>
      </c>
      <c r="T232" s="5"/>
      <c r="U232" s="7">
        <v>15000</v>
      </c>
      <c r="V232" s="7">
        <v>6468</v>
      </c>
      <c r="W232" s="7">
        <v>5973</v>
      </c>
      <c r="X232" s="5">
        <v>0</v>
      </c>
      <c r="Y232" s="7">
        <v>2559</v>
      </c>
    </row>
    <row r="233" spans="1:25" x14ac:dyDescent="0.25">
      <c r="A233" s="5" t="s">
        <v>26</v>
      </c>
      <c r="B233" s="5" t="s">
        <v>34</v>
      </c>
      <c r="C233" s="5" t="s">
        <v>47</v>
      </c>
      <c r="D233" s="5" t="s">
        <v>164</v>
      </c>
      <c r="E233" s="5" t="s">
        <v>39</v>
      </c>
      <c r="F233" s="5" t="s">
        <v>39</v>
      </c>
      <c r="G233" s="5">
        <v>2017</v>
      </c>
      <c r="H233" s="5" t="str">
        <f>CONCATENATE("94270173613")</f>
        <v>94270173613</v>
      </c>
      <c r="I233" s="5" t="s">
        <v>29</v>
      </c>
      <c r="J233" s="5" t="s">
        <v>36</v>
      </c>
      <c r="K233" s="5" t="str">
        <f>CONCATENATE("")</f>
        <v/>
      </c>
      <c r="L233" s="5" t="str">
        <f>CONCATENATE("6 6.4 2a")</f>
        <v>6 6.4 2a</v>
      </c>
      <c r="M233" s="5" t="str">
        <f>CONCATENATE("CMPLRI86A52I156H")</f>
        <v>CMPLRI86A52I156H</v>
      </c>
      <c r="N233" s="5" t="s">
        <v>334</v>
      </c>
      <c r="O233" s="5" t="s">
        <v>336</v>
      </c>
      <c r="P233" s="6">
        <v>43927</v>
      </c>
      <c r="Q233" s="5" t="s">
        <v>31</v>
      </c>
      <c r="R233" s="5" t="s">
        <v>32</v>
      </c>
      <c r="S233" s="5" t="s">
        <v>33</v>
      </c>
      <c r="T233" s="5"/>
      <c r="U233" s="7">
        <v>62459.42</v>
      </c>
      <c r="V233" s="7">
        <v>26932.5</v>
      </c>
      <c r="W233" s="7">
        <v>24871.34</v>
      </c>
      <c r="X233" s="5">
        <v>0</v>
      </c>
      <c r="Y233" s="7">
        <v>10655.58</v>
      </c>
    </row>
    <row r="234" spans="1:25" x14ac:dyDescent="0.25">
      <c r="A234" s="5" t="s">
        <v>26</v>
      </c>
      <c r="B234" s="5" t="s">
        <v>34</v>
      </c>
      <c r="C234" s="5" t="s">
        <v>47</v>
      </c>
      <c r="D234" s="5" t="s">
        <v>164</v>
      </c>
      <c r="E234" s="5" t="s">
        <v>39</v>
      </c>
      <c r="F234" s="5" t="s">
        <v>39</v>
      </c>
      <c r="G234" s="5">
        <v>2017</v>
      </c>
      <c r="H234" s="5" t="str">
        <f>CONCATENATE("94270173621")</f>
        <v>94270173621</v>
      </c>
      <c r="I234" s="5" t="s">
        <v>29</v>
      </c>
      <c r="J234" s="5" t="s">
        <v>36</v>
      </c>
      <c r="K234" s="5" t="str">
        <f>CONCATENATE("")</f>
        <v/>
      </c>
      <c r="L234" s="5" t="str">
        <f>CONCATENATE("4 4.1 2a")</f>
        <v>4 4.1 2a</v>
      </c>
      <c r="M234" s="5" t="str">
        <f>CONCATENATE("CMPLRI86A52I156H")</f>
        <v>CMPLRI86A52I156H</v>
      </c>
      <c r="N234" s="5" t="s">
        <v>334</v>
      </c>
      <c r="O234" s="5" t="s">
        <v>337</v>
      </c>
      <c r="P234" s="6">
        <v>43927</v>
      </c>
      <c r="Q234" s="5" t="s">
        <v>31</v>
      </c>
      <c r="R234" s="5" t="s">
        <v>32</v>
      </c>
      <c r="S234" s="5" t="s">
        <v>33</v>
      </c>
      <c r="T234" s="5"/>
      <c r="U234" s="7">
        <v>37552.21</v>
      </c>
      <c r="V234" s="7">
        <v>16192.51</v>
      </c>
      <c r="W234" s="7">
        <v>14953.29</v>
      </c>
      <c r="X234" s="5">
        <v>0</v>
      </c>
      <c r="Y234" s="7">
        <v>6406.41</v>
      </c>
    </row>
    <row r="235" spans="1:25" ht="24.75" x14ac:dyDescent="0.25">
      <c r="A235" s="5" t="s">
        <v>26</v>
      </c>
      <c r="B235" s="5" t="s">
        <v>34</v>
      </c>
      <c r="C235" s="5" t="s">
        <v>47</v>
      </c>
      <c r="D235" s="5" t="s">
        <v>48</v>
      </c>
      <c r="E235" s="5" t="s">
        <v>39</v>
      </c>
      <c r="F235" s="5" t="s">
        <v>39</v>
      </c>
      <c r="G235" s="5">
        <v>2017</v>
      </c>
      <c r="H235" s="5" t="str">
        <f>CONCATENATE("94270173712")</f>
        <v>94270173712</v>
      </c>
      <c r="I235" s="5" t="s">
        <v>29</v>
      </c>
      <c r="J235" s="5" t="s">
        <v>36</v>
      </c>
      <c r="K235" s="5" t="str">
        <f>CONCATENATE("")</f>
        <v/>
      </c>
      <c r="L235" s="5" t="str">
        <f>CONCATENATE("4 4.1 2a")</f>
        <v>4 4.1 2a</v>
      </c>
      <c r="M235" s="5" t="str">
        <f>CONCATENATE("MNTDOA54D64B474U")</f>
        <v>MNTDOA54D64B474U</v>
      </c>
      <c r="N235" s="5" t="s">
        <v>338</v>
      </c>
      <c r="O235" s="5" t="s">
        <v>339</v>
      </c>
      <c r="P235" s="6">
        <v>43929</v>
      </c>
      <c r="Q235" s="5" t="s">
        <v>31</v>
      </c>
      <c r="R235" s="5" t="s">
        <v>44</v>
      </c>
      <c r="S235" s="5" t="s">
        <v>33</v>
      </c>
      <c r="T235" s="5"/>
      <c r="U235" s="7">
        <v>37295.97</v>
      </c>
      <c r="V235" s="7">
        <v>16082.02</v>
      </c>
      <c r="W235" s="7">
        <v>14851.26</v>
      </c>
      <c r="X235" s="5">
        <v>0</v>
      </c>
      <c r="Y235" s="7">
        <v>6362.69</v>
      </c>
    </row>
    <row r="236" spans="1:25" ht="24.75" x14ac:dyDescent="0.25">
      <c r="A236" s="5" t="s">
        <v>26</v>
      </c>
      <c r="B236" s="5" t="s">
        <v>27</v>
      </c>
      <c r="C236" s="5" t="s">
        <v>47</v>
      </c>
      <c r="D236" s="5" t="s">
        <v>48</v>
      </c>
      <c r="E236" s="5" t="s">
        <v>42</v>
      </c>
      <c r="F236" s="5" t="s">
        <v>221</v>
      </c>
      <c r="G236" s="5">
        <v>2019</v>
      </c>
      <c r="H236" s="5" t="str">
        <f>CONCATENATE("94210145739")</f>
        <v>94210145739</v>
      </c>
      <c r="I236" s="5" t="s">
        <v>29</v>
      </c>
      <c r="J236" s="5" t="s">
        <v>36</v>
      </c>
      <c r="K236" s="5" t="str">
        <f>CONCATENATE("")</f>
        <v/>
      </c>
      <c r="L236" s="5" t="str">
        <f>CONCATENATE("13 13.1 4a")</f>
        <v>13 13.1 4a</v>
      </c>
      <c r="M236" s="5" t="str">
        <f>CONCATENATE("BSSBRN51P08G453L")</f>
        <v>BSSBRN51P08G453L</v>
      </c>
      <c r="N236" s="5" t="s">
        <v>340</v>
      </c>
      <c r="O236" s="5" t="s">
        <v>174</v>
      </c>
      <c r="P236" s="6">
        <v>43927</v>
      </c>
      <c r="Q236" s="5" t="s">
        <v>31</v>
      </c>
      <c r="R236" s="5" t="s">
        <v>32</v>
      </c>
      <c r="S236" s="5" t="s">
        <v>33</v>
      </c>
      <c r="T236" s="5"/>
      <c r="U236" s="7">
        <v>6579.88</v>
      </c>
      <c r="V236" s="7">
        <v>2837.24</v>
      </c>
      <c r="W236" s="7">
        <v>2620.11</v>
      </c>
      <c r="X236" s="5">
        <v>0</v>
      </c>
      <c r="Y236" s="7">
        <v>1122.53</v>
      </c>
    </row>
    <row r="237" spans="1:25" x14ac:dyDescent="0.25">
      <c r="A237" s="5" t="s">
        <v>26</v>
      </c>
      <c r="B237" s="5" t="s">
        <v>27</v>
      </c>
      <c r="C237" s="5" t="s">
        <v>47</v>
      </c>
      <c r="D237" s="5" t="s">
        <v>164</v>
      </c>
      <c r="E237" s="5" t="s">
        <v>35</v>
      </c>
      <c r="F237" s="5" t="s">
        <v>205</v>
      </c>
      <c r="G237" s="5">
        <v>2019</v>
      </c>
      <c r="H237" s="5" t="str">
        <f>CONCATENATE("94210112028")</f>
        <v>94210112028</v>
      </c>
      <c r="I237" s="5" t="s">
        <v>29</v>
      </c>
      <c r="J237" s="5" t="s">
        <v>36</v>
      </c>
      <c r="K237" s="5" t="str">
        <f>CONCATENATE("")</f>
        <v/>
      </c>
      <c r="L237" s="5" t="str">
        <f>CONCATENATE("13 13.1 4a")</f>
        <v>13 13.1 4a</v>
      </c>
      <c r="M237" s="5" t="str">
        <f>CONCATENATE("CNCFNC82E01B474C")</f>
        <v>CNCFNC82E01B474C</v>
      </c>
      <c r="N237" s="5" t="s">
        <v>341</v>
      </c>
      <c r="O237" s="5" t="s">
        <v>174</v>
      </c>
      <c r="P237" s="6">
        <v>43927</v>
      </c>
      <c r="Q237" s="5" t="s">
        <v>31</v>
      </c>
      <c r="R237" s="5" t="s">
        <v>32</v>
      </c>
      <c r="S237" s="5" t="s">
        <v>33</v>
      </c>
      <c r="T237" s="5"/>
      <c r="U237" s="7">
        <v>7666.12</v>
      </c>
      <c r="V237" s="7">
        <v>3305.63</v>
      </c>
      <c r="W237" s="7">
        <v>3052.65</v>
      </c>
      <c r="X237" s="5">
        <v>0</v>
      </c>
      <c r="Y237" s="7">
        <v>1307.8399999999999</v>
      </c>
    </row>
    <row r="238" spans="1:25" ht="24.75" x14ac:dyDescent="0.25">
      <c r="A238" s="5" t="s">
        <v>26</v>
      </c>
      <c r="B238" s="5" t="s">
        <v>27</v>
      </c>
      <c r="C238" s="5" t="s">
        <v>47</v>
      </c>
      <c r="D238" s="5" t="s">
        <v>52</v>
      </c>
      <c r="E238" s="5" t="s">
        <v>28</v>
      </c>
      <c r="F238" s="5" t="s">
        <v>132</v>
      </c>
      <c r="G238" s="5">
        <v>2019</v>
      </c>
      <c r="H238" s="5" t="str">
        <f>CONCATENATE("94210494137")</f>
        <v>94210494137</v>
      </c>
      <c r="I238" s="5" t="s">
        <v>29</v>
      </c>
      <c r="J238" s="5" t="s">
        <v>36</v>
      </c>
      <c r="K238" s="5" t="str">
        <f>CONCATENATE("")</f>
        <v/>
      </c>
      <c r="L238" s="5" t="str">
        <f>CONCATENATE("13 13.1 4a")</f>
        <v>13 13.1 4a</v>
      </c>
      <c r="M238" s="5" t="str">
        <f>CONCATENATE("LCRGNN53S01G453E")</f>
        <v>LCRGNN53S01G453E</v>
      </c>
      <c r="N238" s="5" t="s">
        <v>342</v>
      </c>
      <c r="O238" s="5" t="s">
        <v>174</v>
      </c>
      <c r="P238" s="6">
        <v>43927</v>
      </c>
      <c r="Q238" s="5" t="s">
        <v>31</v>
      </c>
      <c r="R238" s="5" t="s">
        <v>32</v>
      </c>
      <c r="S238" s="5" t="s">
        <v>33</v>
      </c>
      <c r="T238" s="5"/>
      <c r="U238" s="5">
        <v>404.49</v>
      </c>
      <c r="V238" s="5">
        <v>174.42</v>
      </c>
      <c r="W238" s="5">
        <v>161.07</v>
      </c>
      <c r="X238" s="5">
        <v>0</v>
      </c>
      <c r="Y238" s="5">
        <v>69</v>
      </c>
    </row>
    <row r="239" spans="1:25" x14ac:dyDescent="0.25">
      <c r="A239" s="5" t="s">
        <v>26</v>
      </c>
      <c r="B239" s="5" t="s">
        <v>34</v>
      </c>
      <c r="C239" s="5" t="s">
        <v>47</v>
      </c>
      <c r="D239" s="5" t="s">
        <v>164</v>
      </c>
      <c r="E239" s="5" t="s">
        <v>35</v>
      </c>
      <c r="F239" s="5" t="s">
        <v>224</v>
      </c>
      <c r="G239" s="5">
        <v>2017</v>
      </c>
      <c r="H239" s="5" t="str">
        <f>CONCATENATE("04270031372")</f>
        <v>04270031372</v>
      </c>
      <c r="I239" s="5" t="s">
        <v>29</v>
      </c>
      <c r="J239" s="5" t="s">
        <v>36</v>
      </c>
      <c r="K239" s="5" t="str">
        <f>CONCATENATE("")</f>
        <v/>
      </c>
      <c r="L239" s="5" t="str">
        <f>CONCATENATE("6 6.1 2b")</f>
        <v>6 6.1 2b</v>
      </c>
      <c r="M239" s="5" t="str">
        <f>CONCATENATE("BRNMNL96P15B474U")</f>
        <v>BRNMNL96P15B474U</v>
      </c>
      <c r="N239" s="5" t="s">
        <v>343</v>
      </c>
      <c r="O239" s="5" t="s">
        <v>344</v>
      </c>
      <c r="P239" s="6">
        <v>43927</v>
      </c>
      <c r="Q239" s="5" t="s">
        <v>31</v>
      </c>
      <c r="R239" s="5" t="s">
        <v>32</v>
      </c>
      <c r="S239" s="5" t="s">
        <v>33</v>
      </c>
      <c r="T239" s="5"/>
      <c r="U239" s="7">
        <v>21000</v>
      </c>
      <c r="V239" s="7">
        <v>9055.2000000000007</v>
      </c>
      <c r="W239" s="7">
        <v>8362.2000000000007</v>
      </c>
      <c r="X239" s="5">
        <v>0</v>
      </c>
      <c r="Y239" s="7">
        <v>3582.6</v>
      </c>
    </row>
    <row r="240" spans="1:25" ht="24.75" x14ac:dyDescent="0.25">
      <c r="A240" s="5" t="s">
        <v>26</v>
      </c>
      <c r="B240" s="5" t="s">
        <v>34</v>
      </c>
      <c r="C240" s="5" t="s">
        <v>47</v>
      </c>
      <c r="D240" s="5" t="s">
        <v>164</v>
      </c>
      <c r="E240" s="5" t="s">
        <v>37</v>
      </c>
      <c r="F240" s="5" t="s">
        <v>116</v>
      </c>
      <c r="G240" s="5">
        <v>2017</v>
      </c>
      <c r="H240" s="5" t="str">
        <f>CONCATENATE("04270031364")</f>
        <v>04270031364</v>
      </c>
      <c r="I240" s="5" t="s">
        <v>29</v>
      </c>
      <c r="J240" s="5" t="s">
        <v>36</v>
      </c>
      <c r="K240" s="5" t="str">
        <f>CONCATENATE("")</f>
        <v/>
      </c>
      <c r="L240" s="5" t="str">
        <f>CONCATENATE("6 6.1 2b")</f>
        <v>6 6.1 2b</v>
      </c>
      <c r="M240" s="5" t="str">
        <f>CONCATENATE("01635930439")</f>
        <v>01635930439</v>
      </c>
      <c r="N240" s="5" t="s">
        <v>345</v>
      </c>
      <c r="O240" s="5" t="s">
        <v>344</v>
      </c>
      <c r="P240" s="6">
        <v>43927</v>
      </c>
      <c r="Q240" s="5" t="s">
        <v>31</v>
      </c>
      <c r="R240" s="5" t="s">
        <v>32</v>
      </c>
      <c r="S240" s="5" t="s">
        <v>33</v>
      </c>
      <c r="T240" s="5"/>
      <c r="U240" s="7">
        <v>21000</v>
      </c>
      <c r="V240" s="7">
        <v>9055.2000000000007</v>
      </c>
      <c r="W240" s="7">
        <v>8362.2000000000007</v>
      </c>
      <c r="X240" s="5">
        <v>0</v>
      </c>
      <c r="Y240" s="7">
        <v>3582.6</v>
      </c>
    </row>
    <row r="241" spans="1:25" x14ac:dyDescent="0.25">
      <c r="A241" s="5" t="s">
        <v>26</v>
      </c>
      <c r="B241" s="5" t="s">
        <v>34</v>
      </c>
      <c r="C241" s="5" t="s">
        <v>47</v>
      </c>
      <c r="D241" s="5" t="s">
        <v>164</v>
      </c>
      <c r="E241" s="5" t="s">
        <v>35</v>
      </c>
      <c r="F241" s="5" t="s">
        <v>224</v>
      </c>
      <c r="G241" s="5">
        <v>2017</v>
      </c>
      <c r="H241" s="5" t="str">
        <f>CONCATENATE("04270031414")</f>
        <v>04270031414</v>
      </c>
      <c r="I241" s="5" t="s">
        <v>29</v>
      </c>
      <c r="J241" s="5" t="s">
        <v>36</v>
      </c>
      <c r="K241" s="5" t="str">
        <f>CONCATENATE("")</f>
        <v/>
      </c>
      <c r="L241" s="5" t="str">
        <f>CONCATENATE("4 4.1 2a")</f>
        <v>4 4.1 2a</v>
      </c>
      <c r="M241" s="5" t="str">
        <f>CONCATENATE("BRNMNL96P15B474U")</f>
        <v>BRNMNL96P15B474U</v>
      </c>
      <c r="N241" s="5" t="s">
        <v>343</v>
      </c>
      <c r="O241" s="5" t="s">
        <v>346</v>
      </c>
      <c r="P241" s="6">
        <v>43927</v>
      </c>
      <c r="Q241" s="5" t="s">
        <v>31</v>
      </c>
      <c r="R241" s="5" t="s">
        <v>32</v>
      </c>
      <c r="S241" s="5" t="s">
        <v>33</v>
      </c>
      <c r="T241" s="5"/>
      <c r="U241" s="7">
        <v>82354.92</v>
      </c>
      <c r="V241" s="7">
        <v>35511.440000000002</v>
      </c>
      <c r="W241" s="7">
        <v>32793.730000000003</v>
      </c>
      <c r="X241" s="5">
        <v>0</v>
      </c>
      <c r="Y241" s="7">
        <v>14049.75</v>
      </c>
    </row>
    <row r="242" spans="1:25" ht="24.75" x14ac:dyDescent="0.25">
      <c r="A242" s="5" t="s">
        <v>26</v>
      </c>
      <c r="B242" s="5" t="s">
        <v>34</v>
      </c>
      <c r="C242" s="5" t="s">
        <v>47</v>
      </c>
      <c r="D242" s="5" t="s">
        <v>164</v>
      </c>
      <c r="E242" s="5" t="s">
        <v>37</v>
      </c>
      <c r="F242" s="5" t="s">
        <v>116</v>
      </c>
      <c r="G242" s="5">
        <v>2017</v>
      </c>
      <c r="H242" s="5" t="str">
        <f>CONCATENATE("04270031380")</f>
        <v>04270031380</v>
      </c>
      <c r="I242" s="5" t="s">
        <v>29</v>
      </c>
      <c r="J242" s="5" t="s">
        <v>36</v>
      </c>
      <c r="K242" s="5" t="str">
        <f>CONCATENATE("")</f>
        <v/>
      </c>
      <c r="L242" s="5" t="str">
        <f>CONCATENATE("4 4.1 2a")</f>
        <v>4 4.1 2a</v>
      </c>
      <c r="M242" s="5" t="str">
        <f>CONCATENATE("01635930439")</f>
        <v>01635930439</v>
      </c>
      <c r="N242" s="5" t="s">
        <v>345</v>
      </c>
      <c r="O242" s="5" t="s">
        <v>346</v>
      </c>
      <c r="P242" s="6">
        <v>43927</v>
      </c>
      <c r="Q242" s="5" t="s">
        <v>31</v>
      </c>
      <c r="R242" s="5" t="s">
        <v>32</v>
      </c>
      <c r="S242" s="5" t="s">
        <v>33</v>
      </c>
      <c r="T242" s="5"/>
      <c r="U242" s="7">
        <v>37828.94</v>
      </c>
      <c r="V242" s="7">
        <v>16311.84</v>
      </c>
      <c r="W242" s="7">
        <v>15063.48</v>
      </c>
      <c r="X242" s="5">
        <v>0</v>
      </c>
      <c r="Y242" s="7">
        <v>6453.62</v>
      </c>
    </row>
    <row r="243" spans="1:25" ht="24.75" x14ac:dyDescent="0.25">
      <c r="A243" s="5" t="s">
        <v>26</v>
      </c>
      <c r="B243" s="5" t="s">
        <v>34</v>
      </c>
      <c r="C243" s="5" t="s">
        <v>47</v>
      </c>
      <c r="D243" s="5" t="s">
        <v>102</v>
      </c>
      <c r="E243" s="5" t="s">
        <v>39</v>
      </c>
      <c r="F243" s="5" t="s">
        <v>39</v>
      </c>
      <c r="G243" s="5">
        <v>2017</v>
      </c>
      <c r="H243" s="5" t="str">
        <f>CONCATENATE("94270173704")</f>
        <v>94270173704</v>
      </c>
      <c r="I243" s="5" t="s">
        <v>29</v>
      </c>
      <c r="J243" s="5" t="s">
        <v>36</v>
      </c>
      <c r="K243" s="5" t="str">
        <f>CONCATENATE("")</f>
        <v/>
      </c>
      <c r="L243" s="5" t="str">
        <f>CONCATENATE("8 8.1 5e")</f>
        <v>8 8.1 5e</v>
      </c>
      <c r="M243" s="5" t="str">
        <f>CONCATENATE("BRCRNT55H25D542X")</f>
        <v>BRCRNT55H25D542X</v>
      </c>
      <c r="N243" s="5" t="s">
        <v>347</v>
      </c>
      <c r="O243" s="5" t="s">
        <v>348</v>
      </c>
      <c r="P243" s="6">
        <v>43929</v>
      </c>
      <c r="Q243" s="5" t="s">
        <v>31</v>
      </c>
      <c r="R243" s="5" t="s">
        <v>32</v>
      </c>
      <c r="S243" s="5" t="s">
        <v>33</v>
      </c>
      <c r="T243" s="5"/>
      <c r="U243" s="7">
        <v>12691.39</v>
      </c>
      <c r="V243" s="7">
        <v>5472.53</v>
      </c>
      <c r="W243" s="7">
        <v>5053.71</v>
      </c>
      <c r="X243" s="5">
        <v>0</v>
      </c>
      <c r="Y243" s="7">
        <v>2165.15</v>
      </c>
    </row>
    <row r="244" spans="1:25" ht="24.75" x14ac:dyDescent="0.25">
      <c r="A244" s="5" t="s">
        <v>26</v>
      </c>
      <c r="B244" s="5" t="s">
        <v>34</v>
      </c>
      <c r="C244" s="5" t="s">
        <v>47</v>
      </c>
      <c r="D244" s="5" t="s">
        <v>102</v>
      </c>
      <c r="E244" s="5" t="s">
        <v>39</v>
      </c>
      <c r="F244" s="5" t="s">
        <v>39</v>
      </c>
      <c r="G244" s="5">
        <v>2017</v>
      </c>
      <c r="H244" s="5" t="str">
        <f>CONCATENATE("94270173563")</f>
        <v>94270173563</v>
      </c>
      <c r="I244" s="5" t="s">
        <v>29</v>
      </c>
      <c r="J244" s="5" t="s">
        <v>36</v>
      </c>
      <c r="K244" s="5" t="str">
        <f>CONCATENATE("")</f>
        <v/>
      </c>
      <c r="L244" s="5" t="str">
        <f>CONCATENATE("8 8.1 5e")</f>
        <v>8 8.1 5e</v>
      </c>
      <c r="M244" s="5" t="str">
        <f>CONCATENATE("DSDNTN48P10A252F")</f>
        <v>DSDNTN48P10A252F</v>
      </c>
      <c r="N244" s="5" t="s">
        <v>349</v>
      </c>
      <c r="O244" s="5" t="s">
        <v>348</v>
      </c>
      <c r="P244" s="6">
        <v>43929</v>
      </c>
      <c r="Q244" s="5" t="s">
        <v>31</v>
      </c>
      <c r="R244" s="5" t="s">
        <v>32</v>
      </c>
      <c r="S244" s="5" t="s">
        <v>33</v>
      </c>
      <c r="T244" s="5"/>
      <c r="U244" s="7">
        <v>11689.74</v>
      </c>
      <c r="V244" s="7">
        <v>5040.62</v>
      </c>
      <c r="W244" s="7">
        <v>4654.8500000000004</v>
      </c>
      <c r="X244" s="5">
        <v>0</v>
      </c>
      <c r="Y244" s="7">
        <v>1994.27</v>
      </c>
    </row>
    <row r="245" spans="1:25" ht="24.75" x14ac:dyDescent="0.25">
      <c r="A245" s="5" t="s">
        <v>26</v>
      </c>
      <c r="B245" s="5" t="s">
        <v>34</v>
      </c>
      <c r="C245" s="5" t="s">
        <v>47</v>
      </c>
      <c r="D245" s="5" t="s">
        <v>48</v>
      </c>
      <c r="E245" s="5" t="s">
        <v>39</v>
      </c>
      <c r="F245" s="5" t="s">
        <v>39</v>
      </c>
      <c r="G245" s="5">
        <v>2017</v>
      </c>
      <c r="H245" s="5" t="str">
        <f>CONCATENATE("94270173720")</f>
        <v>94270173720</v>
      </c>
      <c r="I245" s="5" t="s">
        <v>29</v>
      </c>
      <c r="J245" s="5" t="s">
        <v>36</v>
      </c>
      <c r="K245" s="5" t="str">
        <f>CONCATENATE("")</f>
        <v/>
      </c>
      <c r="L245" s="5" t="str">
        <f>CONCATENATE("6 6.1 2b")</f>
        <v>6 6.1 2b</v>
      </c>
      <c r="M245" s="5" t="str">
        <f>CONCATENATE("STRCLL99C58D451C")</f>
        <v>STRCLL99C58D451C</v>
      </c>
      <c r="N245" s="5" t="s">
        <v>350</v>
      </c>
      <c r="O245" s="5" t="s">
        <v>351</v>
      </c>
      <c r="P245" s="6">
        <v>43927</v>
      </c>
      <c r="Q245" s="5" t="s">
        <v>31</v>
      </c>
      <c r="R245" s="5" t="s">
        <v>41</v>
      </c>
      <c r="S245" s="5" t="s">
        <v>33</v>
      </c>
      <c r="T245" s="5"/>
      <c r="U245" s="7">
        <v>42000</v>
      </c>
      <c r="V245" s="7">
        <v>18110.400000000001</v>
      </c>
      <c r="W245" s="7">
        <v>16724.400000000001</v>
      </c>
      <c r="X245" s="5">
        <v>0</v>
      </c>
      <c r="Y245" s="7">
        <v>7165.2</v>
      </c>
    </row>
    <row r="246" spans="1:25" x14ac:dyDescent="0.25">
      <c r="A246" s="5" t="s">
        <v>26</v>
      </c>
      <c r="B246" s="5" t="s">
        <v>27</v>
      </c>
      <c r="C246" s="5" t="s">
        <v>47</v>
      </c>
      <c r="D246" s="5" t="s">
        <v>164</v>
      </c>
      <c r="E246" s="5" t="s">
        <v>28</v>
      </c>
      <c r="F246" s="5" t="s">
        <v>110</v>
      </c>
      <c r="G246" s="5">
        <v>2018</v>
      </c>
      <c r="H246" s="5" t="str">
        <f>CONCATENATE("84241066459")</f>
        <v>84241066459</v>
      </c>
      <c r="I246" s="5" t="s">
        <v>29</v>
      </c>
      <c r="J246" s="5" t="s">
        <v>36</v>
      </c>
      <c r="K246" s="5" t="str">
        <f>CONCATENATE("")</f>
        <v/>
      </c>
      <c r="L246" s="5" t="str">
        <f>CONCATENATE("10 10.1 4a")</f>
        <v>10 10.1 4a</v>
      </c>
      <c r="M246" s="5" t="str">
        <f>CONCATENATE("VLPVNN74R12E783T")</f>
        <v>VLPVNN74R12E783T</v>
      </c>
      <c r="N246" s="5" t="s">
        <v>352</v>
      </c>
      <c r="O246" s="5" t="s">
        <v>324</v>
      </c>
      <c r="P246" s="6">
        <v>43927</v>
      </c>
      <c r="Q246" s="5" t="s">
        <v>31</v>
      </c>
      <c r="R246" s="5" t="s">
        <v>32</v>
      </c>
      <c r="S246" s="5" t="s">
        <v>33</v>
      </c>
      <c r="T246" s="5"/>
      <c r="U246" s="5">
        <v>674.96</v>
      </c>
      <c r="V246" s="5">
        <v>291.04000000000002</v>
      </c>
      <c r="W246" s="5">
        <v>268.77</v>
      </c>
      <c r="X246" s="5">
        <v>0</v>
      </c>
      <c r="Y246" s="5">
        <v>115.15</v>
      </c>
    </row>
    <row r="247" spans="1:25" ht="24.75" x14ac:dyDescent="0.25">
      <c r="A247" s="5" t="s">
        <v>26</v>
      </c>
      <c r="B247" s="5" t="s">
        <v>27</v>
      </c>
      <c r="C247" s="5" t="s">
        <v>47</v>
      </c>
      <c r="D247" s="5" t="s">
        <v>164</v>
      </c>
      <c r="E247" s="5" t="s">
        <v>35</v>
      </c>
      <c r="F247" s="5" t="s">
        <v>224</v>
      </c>
      <c r="G247" s="5">
        <v>2018</v>
      </c>
      <c r="H247" s="5" t="str">
        <f>CONCATENATE("84240495626")</f>
        <v>84240495626</v>
      </c>
      <c r="I247" s="5" t="s">
        <v>29</v>
      </c>
      <c r="J247" s="5" t="s">
        <v>36</v>
      </c>
      <c r="K247" s="5" t="str">
        <f>CONCATENATE("")</f>
        <v/>
      </c>
      <c r="L247" s="5" t="str">
        <f>CONCATENATE("10 10.1 4a")</f>
        <v>10 10.1 4a</v>
      </c>
      <c r="M247" s="5" t="str">
        <f>CONCATENATE("00735960437")</f>
        <v>00735960437</v>
      </c>
      <c r="N247" s="5" t="s">
        <v>353</v>
      </c>
      <c r="O247" s="5" t="s">
        <v>324</v>
      </c>
      <c r="P247" s="6">
        <v>43927</v>
      </c>
      <c r="Q247" s="5" t="s">
        <v>31</v>
      </c>
      <c r="R247" s="5" t="s">
        <v>32</v>
      </c>
      <c r="S247" s="5" t="s">
        <v>33</v>
      </c>
      <c r="T247" s="5"/>
      <c r="U247" s="7">
        <v>3468.45</v>
      </c>
      <c r="V247" s="7">
        <v>1495.6</v>
      </c>
      <c r="W247" s="7">
        <v>1381.14</v>
      </c>
      <c r="X247" s="5">
        <v>0</v>
      </c>
      <c r="Y247" s="5">
        <v>591.71</v>
      </c>
    </row>
    <row r="248" spans="1:25" x14ac:dyDescent="0.25">
      <c r="A248" s="5" t="s">
        <v>26</v>
      </c>
      <c r="B248" s="5" t="s">
        <v>27</v>
      </c>
      <c r="C248" s="5" t="s">
        <v>47</v>
      </c>
      <c r="D248" s="5" t="s">
        <v>164</v>
      </c>
      <c r="E248" s="5" t="s">
        <v>35</v>
      </c>
      <c r="F248" s="5" t="s">
        <v>224</v>
      </c>
      <c r="G248" s="5">
        <v>2018</v>
      </c>
      <c r="H248" s="5" t="str">
        <f>CONCATENATE("84240276901")</f>
        <v>84240276901</v>
      </c>
      <c r="I248" s="5" t="s">
        <v>29</v>
      </c>
      <c r="J248" s="5" t="s">
        <v>36</v>
      </c>
      <c r="K248" s="5" t="str">
        <f>CONCATENATE("")</f>
        <v/>
      </c>
      <c r="L248" s="5" t="str">
        <f>CONCATENATE("10 10.1 4a")</f>
        <v>10 10.1 4a</v>
      </c>
      <c r="M248" s="5" t="str">
        <f>CONCATENATE("RCCDVD60M25D564G")</f>
        <v>RCCDVD60M25D564G</v>
      </c>
      <c r="N248" s="5" t="s">
        <v>354</v>
      </c>
      <c r="O248" s="5" t="s">
        <v>324</v>
      </c>
      <c r="P248" s="6">
        <v>43927</v>
      </c>
      <c r="Q248" s="5" t="s">
        <v>31</v>
      </c>
      <c r="R248" s="5" t="s">
        <v>32</v>
      </c>
      <c r="S248" s="5" t="s">
        <v>33</v>
      </c>
      <c r="T248" s="5"/>
      <c r="U248" s="7">
        <v>4136.3999999999996</v>
      </c>
      <c r="V248" s="7">
        <v>1783.62</v>
      </c>
      <c r="W248" s="7">
        <v>1647.11</v>
      </c>
      <c r="X248" s="5">
        <v>0</v>
      </c>
      <c r="Y248" s="5">
        <v>705.67</v>
      </c>
    </row>
    <row r="249" spans="1:25" ht="24.75" x14ac:dyDescent="0.25">
      <c r="A249" s="5" t="s">
        <v>26</v>
      </c>
      <c r="B249" s="5" t="s">
        <v>27</v>
      </c>
      <c r="C249" s="5" t="s">
        <v>47</v>
      </c>
      <c r="D249" s="5" t="s">
        <v>52</v>
      </c>
      <c r="E249" s="5" t="s">
        <v>40</v>
      </c>
      <c r="F249" s="5" t="s">
        <v>62</v>
      </c>
      <c r="G249" s="5">
        <v>2018</v>
      </c>
      <c r="H249" s="5" t="str">
        <f>CONCATENATE("84240206155")</f>
        <v>84240206155</v>
      </c>
      <c r="I249" s="5" t="s">
        <v>29</v>
      </c>
      <c r="J249" s="5" t="s">
        <v>36</v>
      </c>
      <c r="K249" s="5" t="str">
        <f>CONCATENATE("")</f>
        <v/>
      </c>
      <c r="L249" s="5" t="str">
        <f>CONCATENATE("10 10.1 4a")</f>
        <v>10 10.1 4a</v>
      </c>
      <c r="M249" s="5" t="str">
        <f>CONCATENATE("RSSLCU71C01L498P")</f>
        <v>RSSLCU71C01L498P</v>
      </c>
      <c r="N249" s="5" t="s">
        <v>355</v>
      </c>
      <c r="O249" s="5" t="s">
        <v>324</v>
      </c>
      <c r="P249" s="6">
        <v>43927</v>
      </c>
      <c r="Q249" s="5" t="s">
        <v>31</v>
      </c>
      <c r="R249" s="5" t="s">
        <v>32</v>
      </c>
      <c r="S249" s="5" t="s">
        <v>33</v>
      </c>
      <c r="T249" s="5"/>
      <c r="U249" s="5">
        <v>563.23</v>
      </c>
      <c r="V249" s="5">
        <v>242.86</v>
      </c>
      <c r="W249" s="5">
        <v>224.28</v>
      </c>
      <c r="X249" s="5">
        <v>0</v>
      </c>
      <c r="Y249" s="5">
        <v>96.09</v>
      </c>
    </row>
    <row r="250" spans="1:25" ht="24.75" x14ac:dyDescent="0.25">
      <c r="A250" s="5" t="s">
        <v>26</v>
      </c>
      <c r="B250" s="5" t="s">
        <v>27</v>
      </c>
      <c r="C250" s="5" t="s">
        <v>47</v>
      </c>
      <c r="D250" s="5" t="s">
        <v>52</v>
      </c>
      <c r="E250" s="5" t="s">
        <v>40</v>
      </c>
      <c r="F250" s="5" t="s">
        <v>62</v>
      </c>
      <c r="G250" s="5">
        <v>2019</v>
      </c>
      <c r="H250" s="5" t="str">
        <f>CONCATENATE("94240668254")</f>
        <v>94240668254</v>
      </c>
      <c r="I250" s="5" t="s">
        <v>29</v>
      </c>
      <c r="J250" s="5" t="s">
        <v>36</v>
      </c>
      <c r="K250" s="5" t="str">
        <f>CONCATENATE("")</f>
        <v/>
      </c>
      <c r="L250" s="5" t="str">
        <f>CONCATENATE("10 10.1 4a")</f>
        <v>10 10.1 4a</v>
      </c>
      <c r="M250" s="5" t="str">
        <f>CONCATENATE("RSSLCU71C01L498P")</f>
        <v>RSSLCU71C01L498P</v>
      </c>
      <c r="N250" s="5" t="s">
        <v>355</v>
      </c>
      <c r="O250" s="5" t="s">
        <v>324</v>
      </c>
      <c r="P250" s="6">
        <v>43927</v>
      </c>
      <c r="Q250" s="5" t="s">
        <v>31</v>
      </c>
      <c r="R250" s="5" t="s">
        <v>32</v>
      </c>
      <c r="S250" s="5" t="s">
        <v>33</v>
      </c>
      <c r="T250" s="5"/>
      <c r="U250" s="5">
        <v>563.23</v>
      </c>
      <c r="V250" s="5">
        <v>242.86</v>
      </c>
      <c r="W250" s="5">
        <v>224.28</v>
      </c>
      <c r="X250" s="5">
        <v>0</v>
      </c>
      <c r="Y250" s="5">
        <v>96.09</v>
      </c>
    </row>
    <row r="251" spans="1:25" x14ac:dyDescent="0.25">
      <c r="A251" s="5" t="s">
        <v>26</v>
      </c>
      <c r="B251" s="5" t="s">
        <v>27</v>
      </c>
      <c r="C251" s="5" t="s">
        <v>47</v>
      </c>
      <c r="D251" s="5" t="s">
        <v>164</v>
      </c>
      <c r="E251" s="5" t="s">
        <v>35</v>
      </c>
      <c r="F251" s="5" t="s">
        <v>224</v>
      </c>
      <c r="G251" s="5">
        <v>2018</v>
      </c>
      <c r="H251" s="5" t="str">
        <f>CONCATENATE("84240595367")</f>
        <v>84240595367</v>
      </c>
      <c r="I251" s="5" t="s">
        <v>43</v>
      </c>
      <c r="J251" s="5" t="s">
        <v>36</v>
      </c>
      <c r="K251" s="5" t="str">
        <f>CONCATENATE("")</f>
        <v/>
      </c>
      <c r="L251" s="5" t="str">
        <f>CONCATENATE("10 10.1 4a")</f>
        <v>10 10.1 4a</v>
      </c>
      <c r="M251" s="5" t="str">
        <f>CONCATENATE("NGLGNN90P20B474S")</f>
        <v>NGLGNN90P20B474S</v>
      </c>
      <c r="N251" s="5" t="s">
        <v>356</v>
      </c>
      <c r="O251" s="5" t="s">
        <v>324</v>
      </c>
      <c r="P251" s="6">
        <v>43927</v>
      </c>
      <c r="Q251" s="5" t="s">
        <v>31</v>
      </c>
      <c r="R251" s="5" t="s">
        <v>32</v>
      </c>
      <c r="S251" s="5" t="s">
        <v>33</v>
      </c>
      <c r="T251" s="5"/>
      <c r="U251" s="7">
        <v>10520</v>
      </c>
      <c r="V251" s="7">
        <v>4536.22</v>
      </c>
      <c r="W251" s="7">
        <v>4189.0600000000004</v>
      </c>
      <c r="X251" s="5">
        <v>0</v>
      </c>
      <c r="Y251" s="7">
        <v>1794.72</v>
      </c>
    </row>
    <row r="252" spans="1:25" x14ac:dyDescent="0.25">
      <c r="A252" s="5" t="s">
        <v>26</v>
      </c>
      <c r="B252" s="5" t="s">
        <v>27</v>
      </c>
      <c r="C252" s="5" t="s">
        <v>47</v>
      </c>
      <c r="D252" s="5" t="s">
        <v>164</v>
      </c>
      <c r="E252" s="5" t="s">
        <v>40</v>
      </c>
      <c r="F252" s="5" t="s">
        <v>227</v>
      </c>
      <c r="G252" s="5">
        <v>2019</v>
      </c>
      <c r="H252" s="5" t="str">
        <f>CONCATENATE("94240365786")</f>
        <v>94240365786</v>
      </c>
      <c r="I252" s="5" t="s">
        <v>29</v>
      </c>
      <c r="J252" s="5" t="s">
        <v>36</v>
      </c>
      <c r="K252" s="5" t="str">
        <f>CONCATENATE("")</f>
        <v/>
      </c>
      <c r="L252" s="5" t="str">
        <f>CONCATENATE("10 10.1 4a")</f>
        <v>10 10.1 4a</v>
      </c>
      <c r="M252" s="5" t="str">
        <f>CONCATENATE("MGGNZR49E24I661D")</f>
        <v>MGGNZR49E24I661D</v>
      </c>
      <c r="N252" s="5" t="s">
        <v>357</v>
      </c>
      <c r="O252" s="5" t="s">
        <v>324</v>
      </c>
      <c r="P252" s="6">
        <v>43927</v>
      </c>
      <c r="Q252" s="5" t="s">
        <v>31</v>
      </c>
      <c r="R252" s="5" t="s">
        <v>32</v>
      </c>
      <c r="S252" s="5" t="s">
        <v>33</v>
      </c>
      <c r="T252" s="5"/>
      <c r="U252" s="7">
        <v>1797.82</v>
      </c>
      <c r="V252" s="5">
        <v>775.22</v>
      </c>
      <c r="W252" s="5">
        <v>715.89</v>
      </c>
      <c r="X252" s="5">
        <v>0</v>
      </c>
      <c r="Y252" s="5">
        <v>306.70999999999998</v>
      </c>
    </row>
    <row r="253" spans="1:25" ht="24.75" x14ac:dyDescent="0.25">
      <c r="A253" s="5" t="s">
        <v>26</v>
      </c>
      <c r="B253" s="5" t="s">
        <v>27</v>
      </c>
      <c r="C253" s="5" t="s">
        <v>47</v>
      </c>
      <c r="D253" s="5" t="s">
        <v>52</v>
      </c>
      <c r="E253" s="5" t="s">
        <v>35</v>
      </c>
      <c r="F253" s="5" t="s">
        <v>56</v>
      </c>
      <c r="G253" s="5">
        <v>2018</v>
      </c>
      <c r="H253" s="5" t="str">
        <f>CONCATENATE("84240774335")</f>
        <v>84240774335</v>
      </c>
      <c r="I253" s="5" t="s">
        <v>43</v>
      </c>
      <c r="J253" s="5" t="s">
        <v>36</v>
      </c>
      <c r="K253" s="5" t="str">
        <f>CONCATENATE("")</f>
        <v/>
      </c>
      <c r="L253" s="5" t="str">
        <f>CONCATENATE("10 10.1 4a")</f>
        <v>10 10.1 4a</v>
      </c>
      <c r="M253" s="5" t="str">
        <f>CONCATENATE("PGNSMN72A61D749T")</f>
        <v>PGNSMN72A61D749T</v>
      </c>
      <c r="N253" s="5" t="s">
        <v>358</v>
      </c>
      <c r="O253" s="5" t="s">
        <v>324</v>
      </c>
      <c r="P253" s="6">
        <v>43927</v>
      </c>
      <c r="Q253" s="5" t="s">
        <v>31</v>
      </c>
      <c r="R253" s="5" t="s">
        <v>32</v>
      </c>
      <c r="S253" s="5" t="s">
        <v>33</v>
      </c>
      <c r="T253" s="5"/>
      <c r="U253" s="5">
        <v>260</v>
      </c>
      <c r="V253" s="5">
        <v>112.11</v>
      </c>
      <c r="W253" s="5">
        <v>103.53</v>
      </c>
      <c r="X253" s="5">
        <v>0</v>
      </c>
      <c r="Y253" s="5">
        <v>44.36</v>
      </c>
    </row>
    <row r="254" spans="1:25" ht="24.75" x14ac:dyDescent="0.25">
      <c r="A254" s="5" t="s">
        <v>26</v>
      </c>
      <c r="B254" s="5" t="s">
        <v>27</v>
      </c>
      <c r="C254" s="5" t="s">
        <v>47</v>
      </c>
      <c r="D254" s="5" t="s">
        <v>52</v>
      </c>
      <c r="E254" s="5" t="s">
        <v>35</v>
      </c>
      <c r="F254" s="5" t="s">
        <v>56</v>
      </c>
      <c r="G254" s="5">
        <v>2019</v>
      </c>
      <c r="H254" s="5" t="str">
        <f>CONCATENATE("94241089369")</f>
        <v>94241089369</v>
      </c>
      <c r="I254" s="5" t="s">
        <v>29</v>
      </c>
      <c r="J254" s="5" t="s">
        <v>36</v>
      </c>
      <c r="K254" s="5" t="str">
        <f>CONCATENATE("")</f>
        <v/>
      </c>
      <c r="L254" s="5" t="str">
        <f>CONCATENATE("10 10.1 4a")</f>
        <v>10 10.1 4a</v>
      </c>
      <c r="M254" s="5" t="str">
        <f>CONCATENATE("PGNSMN72A61D749T")</f>
        <v>PGNSMN72A61D749T</v>
      </c>
      <c r="N254" s="5" t="s">
        <v>358</v>
      </c>
      <c r="O254" s="5" t="s">
        <v>324</v>
      </c>
      <c r="P254" s="6">
        <v>43927</v>
      </c>
      <c r="Q254" s="5" t="s">
        <v>31</v>
      </c>
      <c r="R254" s="5" t="s">
        <v>32</v>
      </c>
      <c r="S254" s="5" t="s">
        <v>33</v>
      </c>
      <c r="T254" s="5"/>
      <c r="U254" s="5">
        <v>273.68</v>
      </c>
      <c r="V254" s="5">
        <v>118.01</v>
      </c>
      <c r="W254" s="5">
        <v>108.98</v>
      </c>
      <c r="X254" s="5">
        <v>0</v>
      </c>
      <c r="Y254" s="5">
        <v>46.69</v>
      </c>
    </row>
    <row r="255" spans="1:25" ht="24.75" x14ac:dyDescent="0.25">
      <c r="A255" s="5" t="s">
        <v>26</v>
      </c>
      <c r="B255" s="5" t="s">
        <v>27</v>
      </c>
      <c r="C255" s="5" t="s">
        <v>47</v>
      </c>
      <c r="D255" s="5" t="s">
        <v>52</v>
      </c>
      <c r="E255" s="5" t="s">
        <v>35</v>
      </c>
      <c r="F255" s="5" t="s">
        <v>91</v>
      </c>
      <c r="G255" s="5">
        <v>2018</v>
      </c>
      <c r="H255" s="5" t="str">
        <f>CONCATENATE("84240526602")</f>
        <v>84240526602</v>
      </c>
      <c r="I255" s="5" t="s">
        <v>29</v>
      </c>
      <c r="J255" s="5" t="s">
        <v>36</v>
      </c>
      <c r="K255" s="5" t="str">
        <f>CONCATENATE("")</f>
        <v/>
      </c>
      <c r="L255" s="5" t="str">
        <f>CONCATENATE("10 10.1 4a")</f>
        <v>10 10.1 4a</v>
      </c>
      <c r="M255" s="5" t="str">
        <f>CONCATENATE("RMTGCM91B05G535X")</f>
        <v>RMTGCM91B05G535X</v>
      </c>
      <c r="N255" s="5" t="s">
        <v>359</v>
      </c>
      <c r="O255" s="5" t="s">
        <v>324</v>
      </c>
      <c r="P255" s="6">
        <v>43927</v>
      </c>
      <c r="Q255" s="5" t="s">
        <v>31</v>
      </c>
      <c r="R255" s="5" t="s">
        <v>32</v>
      </c>
      <c r="S255" s="5" t="s">
        <v>33</v>
      </c>
      <c r="T255" s="5"/>
      <c r="U255" s="7">
        <v>7000</v>
      </c>
      <c r="V255" s="7">
        <v>3018.4</v>
      </c>
      <c r="W255" s="7">
        <v>2787.4</v>
      </c>
      <c r="X255" s="5">
        <v>0</v>
      </c>
      <c r="Y255" s="7">
        <v>1194.2</v>
      </c>
    </row>
    <row r="256" spans="1:25" ht="24.75" x14ac:dyDescent="0.25">
      <c r="A256" s="5" t="s">
        <v>26</v>
      </c>
      <c r="B256" s="5" t="s">
        <v>27</v>
      </c>
      <c r="C256" s="5" t="s">
        <v>47</v>
      </c>
      <c r="D256" s="5" t="s">
        <v>52</v>
      </c>
      <c r="E256" s="5" t="s">
        <v>35</v>
      </c>
      <c r="F256" s="5" t="s">
        <v>91</v>
      </c>
      <c r="G256" s="5">
        <v>2019</v>
      </c>
      <c r="H256" s="5" t="str">
        <f>CONCATENATE("94240626484")</f>
        <v>94240626484</v>
      </c>
      <c r="I256" s="5" t="s">
        <v>29</v>
      </c>
      <c r="J256" s="5" t="s">
        <v>36</v>
      </c>
      <c r="K256" s="5" t="str">
        <f>CONCATENATE("")</f>
        <v/>
      </c>
      <c r="L256" s="5" t="str">
        <f>CONCATENATE("10 10.1 4a")</f>
        <v>10 10.1 4a</v>
      </c>
      <c r="M256" s="5" t="str">
        <f>CONCATENATE("RMTGCM91B05G535X")</f>
        <v>RMTGCM91B05G535X</v>
      </c>
      <c r="N256" s="5" t="s">
        <v>359</v>
      </c>
      <c r="O256" s="5" t="s">
        <v>324</v>
      </c>
      <c r="P256" s="6">
        <v>43927</v>
      </c>
      <c r="Q256" s="5" t="s">
        <v>31</v>
      </c>
      <c r="R256" s="5" t="s">
        <v>32</v>
      </c>
      <c r="S256" s="5" t="s">
        <v>33</v>
      </c>
      <c r="T256" s="5"/>
      <c r="U256" s="7">
        <v>7000</v>
      </c>
      <c r="V256" s="7">
        <v>3018.4</v>
      </c>
      <c r="W256" s="7">
        <v>2787.4</v>
      </c>
      <c r="X256" s="5">
        <v>0</v>
      </c>
      <c r="Y256" s="7">
        <v>1194.2</v>
      </c>
    </row>
    <row r="257" spans="1:25" ht="24.75" x14ac:dyDescent="0.25">
      <c r="A257" s="5" t="s">
        <v>26</v>
      </c>
      <c r="B257" s="5" t="s">
        <v>27</v>
      </c>
      <c r="C257" s="5" t="s">
        <v>47</v>
      </c>
      <c r="D257" s="5" t="s">
        <v>52</v>
      </c>
      <c r="E257" s="5" t="s">
        <v>35</v>
      </c>
      <c r="F257" s="5" t="s">
        <v>91</v>
      </c>
      <c r="G257" s="5">
        <v>2018</v>
      </c>
      <c r="H257" s="5" t="str">
        <f>CONCATENATE("84240526644")</f>
        <v>84240526644</v>
      </c>
      <c r="I257" s="5" t="s">
        <v>29</v>
      </c>
      <c r="J257" s="5" t="s">
        <v>36</v>
      </c>
      <c r="K257" s="5" t="str">
        <f>CONCATENATE("")</f>
        <v/>
      </c>
      <c r="L257" s="5" t="str">
        <f>CONCATENATE("10 10.1 4a")</f>
        <v>10 10.1 4a</v>
      </c>
      <c r="M257" s="5" t="str">
        <f>CONCATENATE("RMTGCM91B05G535X")</f>
        <v>RMTGCM91B05G535X</v>
      </c>
      <c r="N257" s="5" t="s">
        <v>359</v>
      </c>
      <c r="O257" s="5" t="s">
        <v>324</v>
      </c>
      <c r="P257" s="6">
        <v>43927</v>
      </c>
      <c r="Q257" s="5" t="s">
        <v>31</v>
      </c>
      <c r="R257" s="5" t="s">
        <v>32</v>
      </c>
      <c r="S257" s="5" t="s">
        <v>33</v>
      </c>
      <c r="T257" s="5"/>
      <c r="U257" s="7">
        <v>15316.2</v>
      </c>
      <c r="V257" s="7">
        <v>6604.35</v>
      </c>
      <c r="W257" s="7">
        <v>6098.91</v>
      </c>
      <c r="X257" s="5">
        <v>0</v>
      </c>
      <c r="Y257" s="7">
        <v>2612.94</v>
      </c>
    </row>
    <row r="258" spans="1:25" ht="24.75" x14ac:dyDescent="0.25">
      <c r="A258" s="5" t="s">
        <v>26</v>
      </c>
      <c r="B258" s="5" t="s">
        <v>27</v>
      </c>
      <c r="C258" s="5" t="s">
        <v>47</v>
      </c>
      <c r="D258" s="5" t="s">
        <v>52</v>
      </c>
      <c r="E258" s="5" t="s">
        <v>35</v>
      </c>
      <c r="F258" s="5" t="s">
        <v>91</v>
      </c>
      <c r="G258" s="5">
        <v>2019</v>
      </c>
      <c r="H258" s="5" t="str">
        <f>CONCATENATE("94240626559")</f>
        <v>94240626559</v>
      </c>
      <c r="I258" s="5" t="s">
        <v>29</v>
      </c>
      <c r="J258" s="5" t="s">
        <v>36</v>
      </c>
      <c r="K258" s="5" t="str">
        <f>CONCATENATE("")</f>
        <v/>
      </c>
      <c r="L258" s="5" t="str">
        <f>CONCATENATE("10 10.1 4a")</f>
        <v>10 10.1 4a</v>
      </c>
      <c r="M258" s="5" t="str">
        <f>CONCATENATE("RMTGCM91B05G535X")</f>
        <v>RMTGCM91B05G535X</v>
      </c>
      <c r="N258" s="5" t="s">
        <v>359</v>
      </c>
      <c r="O258" s="5" t="s">
        <v>324</v>
      </c>
      <c r="P258" s="6">
        <v>43927</v>
      </c>
      <c r="Q258" s="5" t="s">
        <v>31</v>
      </c>
      <c r="R258" s="5" t="s">
        <v>32</v>
      </c>
      <c r="S258" s="5" t="s">
        <v>33</v>
      </c>
      <c r="T258" s="5"/>
      <c r="U258" s="7">
        <v>26000</v>
      </c>
      <c r="V258" s="7">
        <v>11211.2</v>
      </c>
      <c r="W258" s="7">
        <v>10353.200000000001</v>
      </c>
      <c r="X258" s="5">
        <v>0</v>
      </c>
      <c r="Y258" s="7">
        <v>4435.6000000000004</v>
      </c>
    </row>
    <row r="259" spans="1:25" x14ac:dyDescent="0.25">
      <c r="A259" s="5" t="s">
        <v>26</v>
      </c>
      <c r="B259" s="5" t="s">
        <v>27</v>
      </c>
      <c r="C259" s="5" t="s">
        <v>47</v>
      </c>
      <c r="D259" s="5" t="s">
        <v>164</v>
      </c>
      <c r="E259" s="5" t="s">
        <v>35</v>
      </c>
      <c r="F259" s="5" t="s">
        <v>224</v>
      </c>
      <c r="G259" s="5">
        <v>2018</v>
      </c>
      <c r="H259" s="5" t="str">
        <f>CONCATENATE("84240487268")</f>
        <v>84240487268</v>
      </c>
      <c r="I259" s="5" t="s">
        <v>29</v>
      </c>
      <c r="J259" s="5" t="s">
        <v>36</v>
      </c>
      <c r="K259" s="5" t="str">
        <f>CONCATENATE("")</f>
        <v/>
      </c>
      <c r="L259" s="5" t="str">
        <f>CONCATENATE("10 10.1 4a")</f>
        <v>10 10.1 4a</v>
      </c>
      <c r="M259" s="5" t="str">
        <f>CONCATENATE("LTTGNB95T03B474H")</f>
        <v>LTTGNB95T03B474H</v>
      </c>
      <c r="N259" s="5" t="s">
        <v>360</v>
      </c>
      <c r="O259" s="5" t="s">
        <v>324</v>
      </c>
      <c r="P259" s="6">
        <v>43927</v>
      </c>
      <c r="Q259" s="5" t="s">
        <v>31</v>
      </c>
      <c r="R259" s="5" t="s">
        <v>32</v>
      </c>
      <c r="S259" s="5" t="s">
        <v>33</v>
      </c>
      <c r="T259" s="5"/>
      <c r="U259" s="7">
        <v>3636.13</v>
      </c>
      <c r="V259" s="7">
        <v>1567.9</v>
      </c>
      <c r="W259" s="7">
        <v>1447.91</v>
      </c>
      <c r="X259" s="5">
        <v>0</v>
      </c>
      <c r="Y259" s="5">
        <v>620.32000000000005</v>
      </c>
    </row>
    <row r="260" spans="1:25" ht="24.75" x14ac:dyDescent="0.25">
      <c r="A260" s="5" t="s">
        <v>26</v>
      </c>
      <c r="B260" s="5" t="s">
        <v>27</v>
      </c>
      <c r="C260" s="5" t="s">
        <v>47</v>
      </c>
      <c r="D260" s="5" t="s">
        <v>164</v>
      </c>
      <c r="E260" s="5" t="s">
        <v>35</v>
      </c>
      <c r="F260" s="5" t="s">
        <v>249</v>
      </c>
      <c r="G260" s="5">
        <v>2018</v>
      </c>
      <c r="H260" s="5" t="str">
        <f>CONCATENATE("84240757009")</f>
        <v>84240757009</v>
      </c>
      <c r="I260" s="5" t="s">
        <v>29</v>
      </c>
      <c r="J260" s="5" t="s">
        <v>36</v>
      </c>
      <c r="K260" s="5" t="str">
        <f>CONCATENATE("")</f>
        <v/>
      </c>
      <c r="L260" s="5" t="str">
        <f>CONCATENATE("10 10.1 4a")</f>
        <v>10 10.1 4a</v>
      </c>
      <c r="M260" s="5" t="str">
        <f>CONCATENATE("00607330438")</f>
        <v>00607330438</v>
      </c>
      <c r="N260" s="5" t="s">
        <v>361</v>
      </c>
      <c r="O260" s="5" t="s">
        <v>324</v>
      </c>
      <c r="P260" s="6">
        <v>43927</v>
      </c>
      <c r="Q260" s="5" t="s">
        <v>31</v>
      </c>
      <c r="R260" s="5" t="s">
        <v>32</v>
      </c>
      <c r="S260" s="5" t="s">
        <v>33</v>
      </c>
      <c r="T260" s="5"/>
      <c r="U260" s="5">
        <v>572.4</v>
      </c>
      <c r="V260" s="5">
        <v>246.82</v>
      </c>
      <c r="W260" s="5">
        <v>227.93</v>
      </c>
      <c r="X260" s="5">
        <v>0</v>
      </c>
      <c r="Y260" s="5">
        <v>97.65</v>
      </c>
    </row>
    <row r="261" spans="1:25" ht="24.75" x14ac:dyDescent="0.25">
      <c r="A261" s="5" t="s">
        <v>26</v>
      </c>
      <c r="B261" s="5" t="s">
        <v>27</v>
      </c>
      <c r="C261" s="5" t="s">
        <v>47</v>
      </c>
      <c r="D261" s="5" t="s">
        <v>52</v>
      </c>
      <c r="E261" s="5" t="s">
        <v>28</v>
      </c>
      <c r="F261" s="5" t="s">
        <v>79</v>
      </c>
      <c r="G261" s="5">
        <v>2017</v>
      </c>
      <c r="H261" s="5" t="str">
        <f>CONCATENATE("74240633003")</f>
        <v>74240633003</v>
      </c>
      <c r="I261" s="5" t="s">
        <v>29</v>
      </c>
      <c r="J261" s="5" t="s">
        <v>36</v>
      </c>
      <c r="K261" s="5" t="str">
        <f>CONCATENATE("")</f>
        <v/>
      </c>
      <c r="L261" s="5" t="str">
        <f>CONCATENATE("10 10.1 4a")</f>
        <v>10 10.1 4a</v>
      </c>
      <c r="M261" s="5" t="str">
        <f>CONCATENATE("CMBMRT77M60B352T")</f>
        <v>CMBMRT77M60B352T</v>
      </c>
      <c r="N261" s="5" t="s">
        <v>362</v>
      </c>
      <c r="O261" s="5" t="s">
        <v>324</v>
      </c>
      <c r="P261" s="6">
        <v>43927</v>
      </c>
      <c r="Q261" s="5" t="s">
        <v>31</v>
      </c>
      <c r="R261" s="5" t="s">
        <v>32</v>
      </c>
      <c r="S261" s="5" t="s">
        <v>33</v>
      </c>
      <c r="T261" s="5"/>
      <c r="U261" s="7">
        <v>3000</v>
      </c>
      <c r="V261" s="7">
        <v>1293.5999999999999</v>
      </c>
      <c r="W261" s="7">
        <v>1194.5999999999999</v>
      </c>
      <c r="X261" s="5">
        <v>0</v>
      </c>
      <c r="Y261" s="5">
        <v>511.8</v>
      </c>
    </row>
    <row r="262" spans="1:25" ht="24.75" x14ac:dyDescent="0.25">
      <c r="A262" s="5" t="s">
        <v>26</v>
      </c>
      <c r="B262" s="5" t="s">
        <v>27</v>
      </c>
      <c r="C262" s="5" t="s">
        <v>47</v>
      </c>
      <c r="D262" s="5" t="s">
        <v>52</v>
      </c>
      <c r="E262" s="5" t="s">
        <v>28</v>
      </c>
      <c r="F262" s="5" t="s">
        <v>79</v>
      </c>
      <c r="G262" s="5">
        <v>2017</v>
      </c>
      <c r="H262" s="5" t="str">
        <f>CONCATENATE("74240632690")</f>
        <v>74240632690</v>
      </c>
      <c r="I262" s="5" t="s">
        <v>29</v>
      </c>
      <c r="J262" s="5" t="s">
        <v>36</v>
      </c>
      <c r="K262" s="5" t="str">
        <f>CONCATENATE("")</f>
        <v/>
      </c>
      <c r="L262" s="5" t="str">
        <f>CONCATENATE("10 10.1 4a")</f>
        <v>10 10.1 4a</v>
      </c>
      <c r="M262" s="5" t="str">
        <f>CONCATENATE("CMBMRT77M60B352T")</f>
        <v>CMBMRT77M60B352T</v>
      </c>
      <c r="N262" s="5" t="s">
        <v>362</v>
      </c>
      <c r="O262" s="5" t="s">
        <v>324</v>
      </c>
      <c r="P262" s="6">
        <v>43927</v>
      </c>
      <c r="Q262" s="5" t="s">
        <v>31</v>
      </c>
      <c r="R262" s="5" t="s">
        <v>32</v>
      </c>
      <c r="S262" s="5" t="s">
        <v>33</v>
      </c>
      <c r="T262" s="5"/>
      <c r="U262" s="5">
        <v>600</v>
      </c>
      <c r="V262" s="5">
        <v>258.72000000000003</v>
      </c>
      <c r="W262" s="5">
        <v>238.92</v>
      </c>
      <c r="X262" s="5">
        <v>0</v>
      </c>
      <c r="Y262" s="5">
        <v>102.36</v>
      </c>
    </row>
    <row r="263" spans="1:25" ht="24.75" x14ac:dyDescent="0.25">
      <c r="A263" s="5" t="s">
        <v>26</v>
      </c>
      <c r="B263" s="5" t="s">
        <v>27</v>
      </c>
      <c r="C263" s="5" t="s">
        <v>47</v>
      </c>
      <c r="D263" s="5" t="s">
        <v>52</v>
      </c>
      <c r="E263" s="5" t="s">
        <v>28</v>
      </c>
      <c r="F263" s="5" t="s">
        <v>79</v>
      </c>
      <c r="G263" s="5">
        <v>2018</v>
      </c>
      <c r="H263" s="5" t="str">
        <f>CONCATENATE("84240097851")</f>
        <v>84240097851</v>
      </c>
      <c r="I263" s="5" t="s">
        <v>43</v>
      </c>
      <c r="J263" s="5" t="s">
        <v>36</v>
      </c>
      <c r="K263" s="5" t="str">
        <f>CONCATENATE("")</f>
        <v/>
      </c>
      <c r="L263" s="5" t="str">
        <f>CONCATENATE("10 10.1 4a")</f>
        <v>10 10.1 4a</v>
      </c>
      <c r="M263" s="5" t="str">
        <f>CONCATENATE("TRNDNL94R03I608L")</f>
        <v>TRNDNL94R03I608L</v>
      </c>
      <c r="N263" s="5" t="s">
        <v>363</v>
      </c>
      <c r="O263" s="5" t="s">
        <v>324</v>
      </c>
      <c r="P263" s="6">
        <v>43927</v>
      </c>
      <c r="Q263" s="5" t="s">
        <v>31</v>
      </c>
      <c r="R263" s="5" t="s">
        <v>32</v>
      </c>
      <c r="S263" s="5" t="s">
        <v>33</v>
      </c>
      <c r="T263" s="5"/>
      <c r="U263" s="5">
        <v>435.03</v>
      </c>
      <c r="V263" s="5">
        <v>187.58</v>
      </c>
      <c r="W263" s="5">
        <v>173.23</v>
      </c>
      <c r="X263" s="5">
        <v>0</v>
      </c>
      <c r="Y263" s="5">
        <v>74.22</v>
      </c>
    </row>
    <row r="264" spans="1:25" x14ac:dyDescent="0.25">
      <c r="A264" s="5" t="s">
        <v>26</v>
      </c>
      <c r="B264" s="5" t="s">
        <v>27</v>
      </c>
      <c r="C264" s="5" t="s">
        <v>47</v>
      </c>
      <c r="D264" s="5" t="s">
        <v>164</v>
      </c>
      <c r="E264" s="5" t="s">
        <v>40</v>
      </c>
      <c r="F264" s="5" t="s">
        <v>277</v>
      </c>
      <c r="G264" s="5">
        <v>2019</v>
      </c>
      <c r="H264" s="5" t="str">
        <f>CONCATENATE("94240603939")</f>
        <v>94240603939</v>
      </c>
      <c r="I264" s="5" t="s">
        <v>29</v>
      </c>
      <c r="J264" s="5" t="s">
        <v>36</v>
      </c>
      <c r="K264" s="5" t="str">
        <f>CONCATENATE("")</f>
        <v/>
      </c>
      <c r="L264" s="5" t="str">
        <f>CONCATENATE("10 10.1 4a")</f>
        <v>10 10.1 4a</v>
      </c>
      <c r="M264" s="5" t="str">
        <f>CONCATENATE("PRSMHL86S54I156V")</f>
        <v>PRSMHL86S54I156V</v>
      </c>
      <c r="N264" s="5" t="s">
        <v>364</v>
      </c>
      <c r="O264" s="5" t="s">
        <v>324</v>
      </c>
      <c r="P264" s="6">
        <v>43927</v>
      </c>
      <c r="Q264" s="5" t="s">
        <v>31</v>
      </c>
      <c r="R264" s="5" t="s">
        <v>32</v>
      </c>
      <c r="S264" s="5" t="s">
        <v>33</v>
      </c>
      <c r="T264" s="5"/>
      <c r="U264" s="7">
        <v>1628.46</v>
      </c>
      <c r="V264" s="5">
        <v>702.19</v>
      </c>
      <c r="W264" s="5">
        <v>648.45000000000005</v>
      </c>
      <c r="X264" s="5">
        <v>0</v>
      </c>
      <c r="Y264" s="5">
        <v>277.82</v>
      </c>
    </row>
    <row r="265" spans="1:25" ht="24.75" x14ac:dyDescent="0.25">
      <c r="A265" s="5" t="s">
        <v>26</v>
      </c>
      <c r="B265" s="5" t="s">
        <v>27</v>
      </c>
      <c r="C265" s="5" t="s">
        <v>47</v>
      </c>
      <c r="D265" s="5" t="s">
        <v>164</v>
      </c>
      <c r="E265" s="5" t="s">
        <v>40</v>
      </c>
      <c r="F265" s="5" t="s">
        <v>165</v>
      </c>
      <c r="G265" s="5">
        <v>2018</v>
      </c>
      <c r="H265" s="5" t="str">
        <f>CONCATENATE("84240651327")</f>
        <v>84240651327</v>
      </c>
      <c r="I265" s="5" t="s">
        <v>29</v>
      </c>
      <c r="J265" s="5" t="s">
        <v>36</v>
      </c>
      <c r="K265" s="5" t="str">
        <f>CONCATENATE("")</f>
        <v/>
      </c>
      <c r="L265" s="5" t="str">
        <f>CONCATENATE("10 10.1 4a")</f>
        <v>10 10.1 4a</v>
      </c>
      <c r="M265" s="5" t="str">
        <f>CONCATENATE("01913780431")</f>
        <v>01913780431</v>
      </c>
      <c r="N265" s="5" t="s">
        <v>365</v>
      </c>
      <c r="O265" s="5" t="s">
        <v>324</v>
      </c>
      <c r="P265" s="6">
        <v>43927</v>
      </c>
      <c r="Q265" s="5" t="s">
        <v>31</v>
      </c>
      <c r="R265" s="5" t="s">
        <v>32</v>
      </c>
      <c r="S265" s="5" t="s">
        <v>33</v>
      </c>
      <c r="T265" s="5"/>
      <c r="U265" s="7">
        <v>1378.21</v>
      </c>
      <c r="V265" s="5">
        <v>594.28</v>
      </c>
      <c r="W265" s="5">
        <v>548.79999999999995</v>
      </c>
      <c r="X265" s="5">
        <v>0</v>
      </c>
      <c r="Y265" s="5">
        <v>235.13</v>
      </c>
    </row>
    <row r="266" spans="1:25" x14ac:dyDescent="0.25">
      <c r="A266" s="5" t="s">
        <v>26</v>
      </c>
      <c r="B266" s="5" t="s">
        <v>27</v>
      </c>
      <c r="C266" s="5" t="s">
        <v>47</v>
      </c>
      <c r="D266" s="5" t="s">
        <v>164</v>
      </c>
      <c r="E266" s="5" t="s">
        <v>35</v>
      </c>
      <c r="F266" s="5" t="s">
        <v>224</v>
      </c>
      <c r="G266" s="5">
        <v>2019</v>
      </c>
      <c r="H266" s="5" t="str">
        <f>CONCATENATE("94240677883")</f>
        <v>94240677883</v>
      </c>
      <c r="I266" s="5" t="s">
        <v>29</v>
      </c>
      <c r="J266" s="5" t="s">
        <v>36</v>
      </c>
      <c r="K266" s="5" t="str">
        <f>CONCATENATE("")</f>
        <v/>
      </c>
      <c r="L266" s="5" t="str">
        <f>CONCATENATE("10 10.1 4a")</f>
        <v>10 10.1 4a</v>
      </c>
      <c r="M266" s="5" t="str">
        <f>CONCATENATE("SBRLBR49L31B474W")</f>
        <v>SBRLBR49L31B474W</v>
      </c>
      <c r="N266" s="5" t="s">
        <v>366</v>
      </c>
      <c r="O266" s="5" t="s">
        <v>324</v>
      </c>
      <c r="P266" s="6">
        <v>43927</v>
      </c>
      <c r="Q266" s="5" t="s">
        <v>31</v>
      </c>
      <c r="R266" s="5" t="s">
        <v>32</v>
      </c>
      <c r="S266" s="5" t="s">
        <v>33</v>
      </c>
      <c r="T266" s="5"/>
      <c r="U266" s="7">
        <v>1120.58</v>
      </c>
      <c r="V266" s="5">
        <v>483.19</v>
      </c>
      <c r="W266" s="5">
        <v>446.21</v>
      </c>
      <c r="X266" s="5">
        <v>0</v>
      </c>
      <c r="Y266" s="5">
        <v>191.18</v>
      </c>
    </row>
    <row r="267" spans="1:25" x14ac:dyDescent="0.25">
      <c r="A267" s="5" t="s">
        <v>26</v>
      </c>
      <c r="B267" s="5" t="s">
        <v>27</v>
      </c>
      <c r="C267" s="5" t="s">
        <v>47</v>
      </c>
      <c r="D267" s="5" t="s">
        <v>164</v>
      </c>
      <c r="E267" s="5" t="s">
        <v>42</v>
      </c>
      <c r="F267" s="5" t="s">
        <v>247</v>
      </c>
      <c r="G267" s="5">
        <v>2019</v>
      </c>
      <c r="H267" s="5" t="str">
        <f>CONCATENATE("94241037921")</f>
        <v>94241037921</v>
      </c>
      <c r="I267" s="5" t="s">
        <v>29</v>
      </c>
      <c r="J267" s="5" t="s">
        <v>36</v>
      </c>
      <c r="K267" s="5" t="str">
        <f>CONCATENATE("")</f>
        <v/>
      </c>
      <c r="L267" s="5" t="str">
        <f>CONCATENATE("10 10.1 4a")</f>
        <v>10 10.1 4a</v>
      </c>
      <c r="M267" s="5" t="str">
        <f>CONCATENATE("SBBLRA00H62G478Y")</f>
        <v>SBBLRA00H62G478Y</v>
      </c>
      <c r="N267" s="5" t="s">
        <v>367</v>
      </c>
      <c r="O267" s="5" t="s">
        <v>324</v>
      </c>
      <c r="P267" s="6">
        <v>43927</v>
      </c>
      <c r="Q267" s="5" t="s">
        <v>31</v>
      </c>
      <c r="R267" s="5" t="s">
        <v>32</v>
      </c>
      <c r="S267" s="5" t="s">
        <v>33</v>
      </c>
      <c r="T267" s="5"/>
      <c r="U267" s="7">
        <v>10183.16</v>
      </c>
      <c r="V267" s="7">
        <v>4390.9799999999996</v>
      </c>
      <c r="W267" s="7">
        <v>4054.93</v>
      </c>
      <c r="X267" s="5">
        <v>0</v>
      </c>
      <c r="Y267" s="7">
        <v>1737.25</v>
      </c>
    </row>
    <row r="268" spans="1:25" ht="24.75" x14ac:dyDescent="0.25">
      <c r="A268" s="5" t="s">
        <v>26</v>
      </c>
      <c r="B268" s="5" t="s">
        <v>27</v>
      </c>
      <c r="C268" s="5" t="s">
        <v>47</v>
      </c>
      <c r="D268" s="5" t="s">
        <v>164</v>
      </c>
      <c r="E268" s="5" t="s">
        <v>35</v>
      </c>
      <c r="F268" s="5" t="s">
        <v>224</v>
      </c>
      <c r="G268" s="5">
        <v>2019</v>
      </c>
      <c r="H268" s="5" t="str">
        <f>CONCATENATE("94240795602")</f>
        <v>94240795602</v>
      </c>
      <c r="I268" s="5" t="s">
        <v>29</v>
      </c>
      <c r="J268" s="5" t="s">
        <v>36</v>
      </c>
      <c r="K268" s="5" t="str">
        <f>CONCATENATE("")</f>
        <v/>
      </c>
      <c r="L268" s="5" t="str">
        <f>CONCATENATE("10 10.1 4a")</f>
        <v>10 10.1 4a</v>
      </c>
      <c r="M268" s="5" t="str">
        <f>CONCATENATE("01915750432")</f>
        <v>01915750432</v>
      </c>
      <c r="N268" s="5" t="s">
        <v>368</v>
      </c>
      <c r="O268" s="5" t="s">
        <v>324</v>
      </c>
      <c r="P268" s="6">
        <v>43927</v>
      </c>
      <c r="Q268" s="5" t="s">
        <v>31</v>
      </c>
      <c r="R268" s="5" t="s">
        <v>32</v>
      </c>
      <c r="S268" s="5" t="s">
        <v>33</v>
      </c>
      <c r="T268" s="5"/>
      <c r="U268" s="7">
        <v>5632</v>
      </c>
      <c r="V268" s="7">
        <v>2428.52</v>
      </c>
      <c r="W268" s="7">
        <v>2242.66</v>
      </c>
      <c r="X268" s="5">
        <v>0</v>
      </c>
      <c r="Y268" s="5">
        <v>960.82</v>
      </c>
    </row>
    <row r="269" spans="1:25" ht="24.75" x14ac:dyDescent="0.25">
      <c r="A269" s="5" t="s">
        <v>26</v>
      </c>
      <c r="B269" s="5" t="s">
        <v>27</v>
      </c>
      <c r="C269" s="5" t="s">
        <v>47</v>
      </c>
      <c r="D269" s="5" t="s">
        <v>52</v>
      </c>
      <c r="E269" s="5" t="s">
        <v>35</v>
      </c>
      <c r="F269" s="5" t="s">
        <v>91</v>
      </c>
      <c r="G269" s="5">
        <v>2019</v>
      </c>
      <c r="H269" s="5" t="str">
        <f>CONCATENATE("94240139488")</f>
        <v>94240139488</v>
      </c>
      <c r="I269" s="5" t="s">
        <v>29</v>
      </c>
      <c r="J269" s="5" t="s">
        <v>36</v>
      </c>
      <c r="K269" s="5" t="str">
        <f>CONCATENATE("")</f>
        <v/>
      </c>
      <c r="L269" s="5" t="str">
        <f>CONCATENATE("10 10.1 4a")</f>
        <v>10 10.1 4a</v>
      </c>
      <c r="M269" s="5" t="str">
        <f>CONCATENATE("02634470419")</f>
        <v>02634470419</v>
      </c>
      <c r="N269" s="5" t="s">
        <v>369</v>
      </c>
      <c r="O269" s="5" t="s">
        <v>324</v>
      </c>
      <c r="P269" s="6">
        <v>43927</v>
      </c>
      <c r="Q269" s="5" t="s">
        <v>31</v>
      </c>
      <c r="R269" s="5" t="s">
        <v>32</v>
      </c>
      <c r="S269" s="5" t="s">
        <v>33</v>
      </c>
      <c r="T269" s="5"/>
      <c r="U269" s="7">
        <v>1800</v>
      </c>
      <c r="V269" s="5">
        <v>776.16</v>
      </c>
      <c r="W269" s="5">
        <v>716.76</v>
      </c>
      <c r="X269" s="5">
        <v>0</v>
      </c>
      <c r="Y269" s="5">
        <v>307.08</v>
      </c>
    </row>
    <row r="270" spans="1:25" x14ac:dyDescent="0.25">
      <c r="A270" s="5" t="s">
        <v>26</v>
      </c>
      <c r="B270" s="5" t="s">
        <v>27</v>
      </c>
      <c r="C270" s="5" t="s">
        <v>47</v>
      </c>
      <c r="D270" s="5" t="s">
        <v>164</v>
      </c>
      <c r="E270" s="5" t="s">
        <v>35</v>
      </c>
      <c r="F270" s="5" t="s">
        <v>224</v>
      </c>
      <c r="G270" s="5">
        <v>2019</v>
      </c>
      <c r="H270" s="5" t="str">
        <f>CONCATENATE("94240728728")</f>
        <v>94240728728</v>
      </c>
      <c r="I270" s="5" t="s">
        <v>29</v>
      </c>
      <c r="J270" s="5" t="s">
        <v>36</v>
      </c>
      <c r="K270" s="5" t="str">
        <f>CONCATENATE("")</f>
        <v/>
      </c>
      <c r="L270" s="5" t="str">
        <f>CONCATENATE("10 10.1 4a")</f>
        <v>10 10.1 4a</v>
      </c>
      <c r="M270" s="5" t="str">
        <f>CONCATENATE("FDLCRN51E71I661Y")</f>
        <v>FDLCRN51E71I661Y</v>
      </c>
      <c r="N270" s="5" t="s">
        <v>370</v>
      </c>
      <c r="O270" s="5" t="s">
        <v>324</v>
      </c>
      <c r="P270" s="6">
        <v>43927</v>
      </c>
      <c r="Q270" s="5" t="s">
        <v>31</v>
      </c>
      <c r="R270" s="5" t="s">
        <v>32</v>
      </c>
      <c r="S270" s="5" t="s">
        <v>33</v>
      </c>
      <c r="T270" s="5"/>
      <c r="U270" s="7">
        <v>3368.94</v>
      </c>
      <c r="V270" s="7">
        <v>1452.69</v>
      </c>
      <c r="W270" s="7">
        <v>1341.51</v>
      </c>
      <c r="X270" s="5">
        <v>0</v>
      </c>
      <c r="Y270" s="5">
        <v>574.74</v>
      </c>
    </row>
    <row r="271" spans="1:25" x14ac:dyDescent="0.25">
      <c r="A271" s="5" t="s">
        <v>26</v>
      </c>
      <c r="B271" s="5" t="s">
        <v>27</v>
      </c>
      <c r="C271" s="5" t="s">
        <v>47</v>
      </c>
      <c r="D271" s="5" t="s">
        <v>164</v>
      </c>
      <c r="E271" s="5" t="s">
        <v>35</v>
      </c>
      <c r="F271" s="5" t="s">
        <v>224</v>
      </c>
      <c r="G271" s="5">
        <v>2019</v>
      </c>
      <c r="H271" s="5" t="str">
        <f>CONCATENATE("94240728249")</f>
        <v>94240728249</v>
      </c>
      <c r="I271" s="5" t="s">
        <v>29</v>
      </c>
      <c r="J271" s="5" t="s">
        <v>36</v>
      </c>
      <c r="K271" s="5" t="str">
        <f>CONCATENATE("")</f>
        <v/>
      </c>
      <c r="L271" s="5" t="str">
        <f>CONCATENATE("10 10.1 4a")</f>
        <v>10 10.1 4a</v>
      </c>
      <c r="M271" s="5" t="str">
        <f>CONCATENATE("FDLGPP58R24I661J")</f>
        <v>FDLGPP58R24I661J</v>
      </c>
      <c r="N271" s="5" t="s">
        <v>371</v>
      </c>
      <c r="O271" s="5" t="s">
        <v>324</v>
      </c>
      <c r="P271" s="6">
        <v>43927</v>
      </c>
      <c r="Q271" s="5" t="s">
        <v>31</v>
      </c>
      <c r="R271" s="5" t="s">
        <v>32</v>
      </c>
      <c r="S271" s="5" t="s">
        <v>33</v>
      </c>
      <c r="T271" s="5"/>
      <c r="U271" s="7">
        <v>6583.68</v>
      </c>
      <c r="V271" s="7">
        <v>2838.88</v>
      </c>
      <c r="W271" s="7">
        <v>2621.62</v>
      </c>
      <c r="X271" s="5">
        <v>0</v>
      </c>
      <c r="Y271" s="7">
        <v>1123.18</v>
      </c>
    </row>
    <row r="272" spans="1:25" x14ac:dyDescent="0.25">
      <c r="A272" s="5" t="s">
        <v>26</v>
      </c>
      <c r="B272" s="5" t="s">
        <v>27</v>
      </c>
      <c r="C272" s="5" t="s">
        <v>47</v>
      </c>
      <c r="D272" s="5" t="s">
        <v>164</v>
      </c>
      <c r="E272" s="5" t="s">
        <v>40</v>
      </c>
      <c r="F272" s="5" t="s">
        <v>227</v>
      </c>
      <c r="G272" s="5">
        <v>2019</v>
      </c>
      <c r="H272" s="5" t="str">
        <f>CONCATENATE("94240749070")</f>
        <v>94240749070</v>
      </c>
      <c r="I272" s="5" t="s">
        <v>29</v>
      </c>
      <c r="J272" s="5" t="s">
        <v>36</v>
      </c>
      <c r="K272" s="5" t="str">
        <f>CONCATENATE("")</f>
        <v/>
      </c>
      <c r="L272" s="5" t="str">
        <f>CONCATENATE("10 10.1 4a")</f>
        <v>10 10.1 4a</v>
      </c>
      <c r="M272" s="5" t="str">
        <f>CONCATENATE("FRSGVS47H08D628L")</f>
        <v>FRSGVS47H08D628L</v>
      </c>
      <c r="N272" s="5" t="s">
        <v>372</v>
      </c>
      <c r="O272" s="5" t="s">
        <v>324</v>
      </c>
      <c r="P272" s="6">
        <v>43927</v>
      </c>
      <c r="Q272" s="5" t="s">
        <v>31</v>
      </c>
      <c r="R272" s="5" t="s">
        <v>32</v>
      </c>
      <c r="S272" s="5" t="s">
        <v>33</v>
      </c>
      <c r="T272" s="5"/>
      <c r="U272" s="7">
        <v>4306.72</v>
      </c>
      <c r="V272" s="7">
        <v>1857.06</v>
      </c>
      <c r="W272" s="7">
        <v>1714.94</v>
      </c>
      <c r="X272" s="5">
        <v>0</v>
      </c>
      <c r="Y272" s="5">
        <v>734.72</v>
      </c>
    </row>
    <row r="273" spans="1:25" x14ac:dyDescent="0.25">
      <c r="A273" s="5" t="s">
        <v>26</v>
      </c>
      <c r="B273" s="5" t="s">
        <v>27</v>
      </c>
      <c r="C273" s="5" t="s">
        <v>47</v>
      </c>
      <c r="D273" s="5" t="s">
        <v>164</v>
      </c>
      <c r="E273" s="5" t="s">
        <v>40</v>
      </c>
      <c r="F273" s="5" t="s">
        <v>227</v>
      </c>
      <c r="G273" s="5">
        <v>2018</v>
      </c>
      <c r="H273" s="5" t="str">
        <f>CONCATENATE("84240424923")</f>
        <v>84240424923</v>
      </c>
      <c r="I273" s="5" t="s">
        <v>29</v>
      </c>
      <c r="J273" s="5" t="s">
        <v>36</v>
      </c>
      <c r="K273" s="5" t="str">
        <f>CONCATENATE("")</f>
        <v/>
      </c>
      <c r="L273" s="5" t="str">
        <f>CONCATENATE("10 10.1 4a")</f>
        <v>10 10.1 4a</v>
      </c>
      <c r="M273" s="5" t="str">
        <f>CONCATENATE("01976420438")</f>
        <v>01976420438</v>
      </c>
      <c r="N273" s="5" t="s">
        <v>373</v>
      </c>
      <c r="O273" s="5" t="s">
        <v>324</v>
      </c>
      <c r="P273" s="6">
        <v>43927</v>
      </c>
      <c r="Q273" s="5" t="s">
        <v>31</v>
      </c>
      <c r="R273" s="5" t="s">
        <v>32</v>
      </c>
      <c r="S273" s="5" t="s">
        <v>33</v>
      </c>
      <c r="T273" s="5"/>
      <c r="U273" s="7">
        <v>13305.35</v>
      </c>
      <c r="V273" s="7">
        <v>5737.27</v>
      </c>
      <c r="W273" s="7">
        <v>5298.19</v>
      </c>
      <c r="X273" s="5">
        <v>0</v>
      </c>
      <c r="Y273" s="7">
        <v>2269.89</v>
      </c>
    </row>
    <row r="274" spans="1:25" ht="24.75" x14ac:dyDescent="0.25">
      <c r="A274" s="5" t="s">
        <v>26</v>
      </c>
      <c r="B274" s="5" t="s">
        <v>27</v>
      </c>
      <c r="C274" s="5" t="s">
        <v>47</v>
      </c>
      <c r="D274" s="5" t="s">
        <v>52</v>
      </c>
      <c r="E274" s="5" t="s">
        <v>28</v>
      </c>
      <c r="F274" s="5" t="s">
        <v>79</v>
      </c>
      <c r="G274" s="5">
        <v>2018</v>
      </c>
      <c r="H274" s="5" t="str">
        <f>CONCATENATE("84240000913")</f>
        <v>84240000913</v>
      </c>
      <c r="I274" s="5" t="s">
        <v>43</v>
      </c>
      <c r="J274" s="5" t="s">
        <v>36</v>
      </c>
      <c r="K274" s="5" t="str">
        <f>CONCATENATE("")</f>
        <v/>
      </c>
      <c r="L274" s="5" t="str">
        <f>CONCATENATE("10 10.1 4a")</f>
        <v>10 10.1 4a</v>
      </c>
      <c r="M274" s="5" t="str">
        <f>CONCATENATE("BNFDNT65T28D007O")</f>
        <v>BNFDNT65T28D007O</v>
      </c>
      <c r="N274" s="5" t="s">
        <v>374</v>
      </c>
      <c r="O274" s="5" t="s">
        <v>324</v>
      </c>
      <c r="P274" s="6">
        <v>43927</v>
      </c>
      <c r="Q274" s="5" t="s">
        <v>31</v>
      </c>
      <c r="R274" s="5" t="s">
        <v>32</v>
      </c>
      <c r="S274" s="5" t="s">
        <v>33</v>
      </c>
      <c r="T274" s="5"/>
      <c r="U274" s="5">
        <v>796.08</v>
      </c>
      <c r="V274" s="5">
        <v>343.27</v>
      </c>
      <c r="W274" s="5">
        <v>317</v>
      </c>
      <c r="X274" s="5">
        <v>0</v>
      </c>
      <c r="Y274" s="5">
        <v>135.81</v>
      </c>
    </row>
    <row r="275" spans="1:25" ht="24.75" x14ac:dyDescent="0.25">
      <c r="A275" s="5" t="s">
        <v>26</v>
      </c>
      <c r="B275" s="5" t="s">
        <v>27</v>
      </c>
      <c r="C275" s="5" t="s">
        <v>47</v>
      </c>
      <c r="D275" s="5" t="s">
        <v>52</v>
      </c>
      <c r="E275" s="5" t="s">
        <v>28</v>
      </c>
      <c r="F275" s="5" t="s">
        <v>79</v>
      </c>
      <c r="G275" s="5">
        <v>2018</v>
      </c>
      <c r="H275" s="5" t="str">
        <f>CONCATENATE("84240000780")</f>
        <v>84240000780</v>
      </c>
      <c r="I275" s="5" t="s">
        <v>43</v>
      </c>
      <c r="J275" s="5" t="s">
        <v>36</v>
      </c>
      <c r="K275" s="5" t="str">
        <f>CONCATENATE("")</f>
        <v/>
      </c>
      <c r="L275" s="5" t="str">
        <f>CONCATENATE("10 10.1 4a")</f>
        <v>10 10.1 4a</v>
      </c>
      <c r="M275" s="5" t="str">
        <f>CONCATENATE("FDZRLD48A05D791T")</f>
        <v>FDZRLD48A05D791T</v>
      </c>
      <c r="N275" s="5" t="s">
        <v>375</v>
      </c>
      <c r="O275" s="5" t="s">
        <v>324</v>
      </c>
      <c r="P275" s="6">
        <v>43927</v>
      </c>
      <c r="Q275" s="5" t="s">
        <v>31</v>
      </c>
      <c r="R275" s="5" t="s">
        <v>32</v>
      </c>
      <c r="S275" s="5" t="s">
        <v>33</v>
      </c>
      <c r="T275" s="5"/>
      <c r="U275" s="5">
        <v>120</v>
      </c>
      <c r="V275" s="5">
        <v>51.74</v>
      </c>
      <c r="W275" s="5">
        <v>47.78</v>
      </c>
      <c r="X275" s="5">
        <v>0</v>
      </c>
      <c r="Y275" s="5">
        <v>20.48</v>
      </c>
    </row>
    <row r="276" spans="1:25" ht="24.75" x14ac:dyDescent="0.25">
      <c r="A276" s="5" t="s">
        <v>26</v>
      </c>
      <c r="B276" s="5" t="s">
        <v>27</v>
      </c>
      <c r="C276" s="5" t="s">
        <v>47</v>
      </c>
      <c r="D276" s="5" t="s">
        <v>102</v>
      </c>
      <c r="E276" s="5" t="s">
        <v>28</v>
      </c>
      <c r="F276" s="5" t="s">
        <v>376</v>
      </c>
      <c r="G276" s="5">
        <v>2017</v>
      </c>
      <c r="H276" s="5" t="str">
        <f>CONCATENATE("74240494588")</f>
        <v>74240494588</v>
      </c>
      <c r="I276" s="5" t="s">
        <v>29</v>
      </c>
      <c r="J276" s="5" t="s">
        <v>36</v>
      </c>
      <c r="K276" s="5" t="str">
        <f>CONCATENATE("")</f>
        <v/>
      </c>
      <c r="L276" s="5" t="str">
        <f>CONCATENATE("10 10.1 4a")</f>
        <v>10 10.1 4a</v>
      </c>
      <c r="M276" s="5" t="str">
        <f>CONCATENATE("VGNLLN61M50Z110B")</f>
        <v>VGNLLN61M50Z110B</v>
      </c>
      <c r="N276" s="5" t="s">
        <v>377</v>
      </c>
      <c r="O276" s="5" t="s">
        <v>378</v>
      </c>
      <c r="P276" s="6">
        <v>43927</v>
      </c>
      <c r="Q276" s="5" t="s">
        <v>31</v>
      </c>
      <c r="R276" s="5" t="s">
        <v>32</v>
      </c>
      <c r="S276" s="5" t="s">
        <v>33</v>
      </c>
      <c r="T276" s="5"/>
      <c r="U276" s="7">
        <v>23573.66</v>
      </c>
      <c r="V276" s="7">
        <v>10164.959999999999</v>
      </c>
      <c r="W276" s="7">
        <v>9387.0300000000007</v>
      </c>
      <c r="X276" s="5">
        <v>0</v>
      </c>
      <c r="Y276" s="7">
        <v>4021.67</v>
      </c>
    </row>
    <row r="277" spans="1:25" ht="24.75" x14ac:dyDescent="0.25">
      <c r="A277" s="5" t="s">
        <v>26</v>
      </c>
      <c r="B277" s="5" t="s">
        <v>27</v>
      </c>
      <c r="C277" s="5" t="s">
        <v>47</v>
      </c>
      <c r="D277" s="5" t="s">
        <v>102</v>
      </c>
      <c r="E277" s="5" t="s">
        <v>28</v>
      </c>
      <c r="F277" s="5" t="s">
        <v>376</v>
      </c>
      <c r="G277" s="5">
        <v>2016</v>
      </c>
      <c r="H277" s="5" t="str">
        <f>CONCATENATE("64240742185")</f>
        <v>64240742185</v>
      </c>
      <c r="I277" s="5" t="s">
        <v>29</v>
      </c>
      <c r="J277" s="5" t="s">
        <v>36</v>
      </c>
      <c r="K277" s="5" t="str">
        <f>CONCATENATE("")</f>
        <v/>
      </c>
      <c r="L277" s="5" t="str">
        <f>CONCATENATE("10 10.1 4a")</f>
        <v>10 10.1 4a</v>
      </c>
      <c r="M277" s="5" t="str">
        <f>CONCATENATE("VGNLLN61M50Z110B")</f>
        <v>VGNLLN61M50Z110B</v>
      </c>
      <c r="N277" s="5" t="s">
        <v>377</v>
      </c>
      <c r="O277" s="5" t="s">
        <v>378</v>
      </c>
      <c r="P277" s="6">
        <v>43927</v>
      </c>
      <c r="Q277" s="5" t="s">
        <v>31</v>
      </c>
      <c r="R277" s="5" t="s">
        <v>32</v>
      </c>
      <c r="S277" s="5" t="s">
        <v>33</v>
      </c>
      <c r="T277" s="5"/>
      <c r="U277" s="7">
        <v>27683.9</v>
      </c>
      <c r="V277" s="7">
        <v>11937.3</v>
      </c>
      <c r="W277" s="7">
        <v>11023.73</v>
      </c>
      <c r="X277" s="5">
        <v>0</v>
      </c>
      <c r="Y277" s="7">
        <v>4722.87</v>
      </c>
    </row>
    <row r="278" spans="1:25" ht="24.75" x14ac:dyDescent="0.25">
      <c r="A278" s="5" t="s">
        <v>26</v>
      </c>
      <c r="B278" s="5" t="s">
        <v>27</v>
      </c>
      <c r="C278" s="5" t="s">
        <v>47</v>
      </c>
      <c r="D278" s="5" t="s">
        <v>102</v>
      </c>
      <c r="E278" s="5" t="s">
        <v>35</v>
      </c>
      <c r="F278" s="5" t="s">
        <v>112</v>
      </c>
      <c r="G278" s="5">
        <v>2018</v>
      </c>
      <c r="H278" s="5" t="str">
        <f>CONCATENATE("84240674386")</f>
        <v>84240674386</v>
      </c>
      <c r="I278" s="5" t="s">
        <v>29</v>
      </c>
      <c r="J278" s="5" t="s">
        <v>36</v>
      </c>
      <c r="K278" s="5" t="str">
        <f>CONCATENATE("")</f>
        <v/>
      </c>
      <c r="L278" s="5" t="str">
        <f>CONCATENATE("10 10.1 4a")</f>
        <v>10 10.1 4a</v>
      </c>
      <c r="M278" s="5" t="str">
        <f>CONCATENATE("SNTGRL64T09A437R")</f>
        <v>SNTGRL64T09A437R</v>
      </c>
      <c r="N278" s="5" t="s">
        <v>379</v>
      </c>
      <c r="O278" s="5" t="s">
        <v>378</v>
      </c>
      <c r="P278" s="6">
        <v>43927</v>
      </c>
      <c r="Q278" s="5" t="s">
        <v>31</v>
      </c>
      <c r="R278" s="5" t="s">
        <v>32</v>
      </c>
      <c r="S278" s="5" t="s">
        <v>33</v>
      </c>
      <c r="T278" s="5"/>
      <c r="U278" s="7">
        <v>2386.8000000000002</v>
      </c>
      <c r="V278" s="7">
        <v>1029.19</v>
      </c>
      <c r="W278" s="5">
        <v>950.42</v>
      </c>
      <c r="X278" s="5">
        <v>0</v>
      </c>
      <c r="Y278" s="5">
        <v>407.19</v>
      </c>
    </row>
    <row r="279" spans="1:25" ht="24.75" x14ac:dyDescent="0.25">
      <c r="A279" s="5" t="s">
        <v>26</v>
      </c>
      <c r="B279" s="5" t="s">
        <v>34</v>
      </c>
      <c r="C279" s="5" t="s">
        <v>47</v>
      </c>
      <c r="D279" s="5" t="s">
        <v>48</v>
      </c>
      <c r="E279" s="5" t="s">
        <v>35</v>
      </c>
      <c r="F279" s="5" t="s">
        <v>85</v>
      </c>
      <c r="G279" s="5">
        <v>2017</v>
      </c>
      <c r="H279" s="5" t="str">
        <f>CONCATENATE("94270173746")</f>
        <v>94270173746</v>
      </c>
      <c r="I279" s="5" t="s">
        <v>29</v>
      </c>
      <c r="J279" s="5" t="s">
        <v>36</v>
      </c>
      <c r="K279" s="5" t="str">
        <f>CONCATENATE("")</f>
        <v/>
      </c>
      <c r="L279" s="5" t="str">
        <f>CONCATENATE("6 6.1 2b")</f>
        <v>6 6.1 2b</v>
      </c>
      <c r="M279" s="5" t="str">
        <f>CONCATENATE("MRNSFN86B21E882G")</f>
        <v>MRNSFN86B21E882G</v>
      </c>
      <c r="N279" s="5" t="s">
        <v>380</v>
      </c>
      <c r="O279" s="5" t="s">
        <v>381</v>
      </c>
      <c r="P279" s="6">
        <v>43929</v>
      </c>
      <c r="Q279" s="5" t="s">
        <v>31</v>
      </c>
      <c r="R279" s="5" t="s">
        <v>32</v>
      </c>
      <c r="S279" s="5" t="s">
        <v>33</v>
      </c>
      <c r="T279" s="5"/>
      <c r="U279" s="7">
        <v>21000</v>
      </c>
      <c r="V279" s="7">
        <v>9055.2000000000007</v>
      </c>
      <c r="W279" s="7">
        <v>8362.2000000000007</v>
      </c>
      <c r="X279" s="5">
        <v>0</v>
      </c>
      <c r="Y279" s="7">
        <v>3582.6</v>
      </c>
    </row>
    <row r="280" spans="1:25" ht="24.75" x14ac:dyDescent="0.25">
      <c r="A280" s="5" t="s">
        <v>26</v>
      </c>
      <c r="B280" s="5" t="s">
        <v>34</v>
      </c>
      <c r="C280" s="5" t="s">
        <v>47</v>
      </c>
      <c r="D280" s="5" t="s">
        <v>48</v>
      </c>
      <c r="E280" s="5" t="s">
        <v>35</v>
      </c>
      <c r="F280" s="5" t="s">
        <v>85</v>
      </c>
      <c r="G280" s="5">
        <v>2017</v>
      </c>
      <c r="H280" s="5" t="str">
        <f>CONCATENATE("94270173738")</f>
        <v>94270173738</v>
      </c>
      <c r="I280" s="5" t="s">
        <v>29</v>
      </c>
      <c r="J280" s="5" t="s">
        <v>36</v>
      </c>
      <c r="K280" s="5" t="str">
        <f>CONCATENATE("")</f>
        <v/>
      </c>
      <c r="L280" s="5" t="str">
        <f>CONCATENATE("6 6.4 2a")</f>
        <v>6 6.4 2a</v>
      </c>
      <c r="M280" s="5" t="str">
        <f>CONCATENATE("MRNSFN86B21E882G")</f>
        <v>MRNSFN86B21E882G</v>
      </c>
      <c r="N280" s="5" t="s">
        <v>380</v>
      </c>
      <c r="O280" s="5" t="s">
        <v>382</v>
      </c>
      <c r="P280" s="6">
        <v>43929</v>
      </c>
      <c r="Q280" s="5" t="s">
        <v>31</v>
      </c>
      <c r="R280" s="5" t="s">
        <v>32</v>
      </c>
      <c r="S280" s="5" t="s">
        <v>33</v>
      </c>
      <c r="T280" s="5"/>
      <c r="U280" s="7">
        <v>13856.89</v>
      </c>
      <c r="V280" s="7">
        <v>5975.09</v>
      </c>
      <c r="W280" s="7">
        <v>5517.81</v>
      </c>
      <c r="X280" s="5">
        <v>0</v>
      </c>
      <c r="Y280" s="7">
        <v>2363.9899999999998</v>
      </c>
    </row>
    <row r="281" spans="1:25" ht="24.75" x14ac:dyDescent="0.25">
      <c r="A281" s="5" t="s">
        <v>26</v>
      </c>
      <c r="B281" s="5" t="s">
        <v>34</v>
      </c>
      <c r="C281" s="5" t="s">
        <v>47</v>
      </c>
      <c r="D281" s="5" t="s">
        <v>102</v>
      </c>
      <c r="E281" s="5" t="s">
        <v>39</v>
      </c>
      <c r="F281" s="5" t="s">
        <v>39</v>
      </c>
      <c r="G281" s="5">
        <v>2017</v>
      </c>
      <c r="H281" s="5" t="str">
        <f>CONCATENATE("94270173670")</f>
        <v>94270173670</v>
      </c>
      <c r="I281" s="5" t="s">
        <v>43</v>
      </c>
      <c r="J281" s="5" t="s">
        <v>36</v>
      </c>
      <c r="K281" s="5" t="str">
        <f>CONCATENATE("")</f>
        <v/>
      </c>
      <c r="L281" s="5" t="str">
        <f>CONCATENATE("4 4.1 2a")</f>
        <v>4 4.1 2a</v>
      </c>
      <c r="M281" s="5" t="str">
        <f>CONCATENATE("02132960440")</f>
        <v>02132960440</v>
      </c>
      <c r="N281" s="5" t="s">
        <v>383</v>
      </c>
      <c r="O281" s="5" t="s">
        <v>384</v>
      </c>
      <c r="P281" s="6">
        <v>43929</v>
      </c>
      <c r="Q281" s="5" t="s">
        <v>31</v>
      </c>
      <c r="R281" s="5" t="s">
        <v>32</v>
      </c>
      <c r="S281" s="5" t="s">
        <v>33</v>
      </c>
      <c r="T281" s="5"/>
      <c r="U281" s="7">
        <v>15024.71</v>
      </c>
      <c r="V281" s="7">
        <v>6478.65</v>
      </c>
      <c r="W281" s="7">
        <v>5982.84</v>
      </c>
      <c r="X281" s="5">
        <v>0</v>
      </c>
      <c r="Y281" s="7">
        <v>2563.2199999999998</v>
      </c>
    </row>
    <row r="282" spans="1:25" ht="24.75" x14ac:dyDescent="0.25">
      <c r="A282" s="5" t="s">
        <v>26</v>
      </c>
      <c r="B282" s="5" t="s">
        <v>27</v>
      </c>
      <c r="C282" s="5" t="s">
        <v>47</v>
      </c>
      <c r="D282" s="5" t="s">
        <v>48</v>
      </c>
      <c r="E282" s="5" t="s">
        <v>28</v>
      </c>
      <c r="F282" s="5" t="s">
        <v>75</v>
      </c>
      <c r="G282" s="5">
        <v>2017</v>
      </c>
      <c r="H282" s="5" t="str">
        <f>CONCATENATE("74240444161")</f>
        <v>74240444161</v>
      </c>
      <c r="I282" s="5" t="s">
        <v>29</v>
      </c>
      <c r="J282" s="5" t="s">
        <v>36</v>
      </c>
      <c r="K282" s="5" t="str">
        <f>CONCATENATE("")</f>
        <v/>
      </c>
      <c r="L282" s="5" t="str">
        <f>CONCATENATE("10 10.1 4a")</f>
        <v>10 10.1 4a</v>
      </c>
      <c r="M282" s="5" t="str">
        <f>CONCATENATE("MNTMRN60P23A366D")</f>
        <v>MNTMRN60P23A366D</v>
      </c>
      <c r="N282" s="5" t="s">
        <v>385</v>
      </c>
      <c r="O282" s="5" t="s">
        <v>324</v>
      </c>
      <c r="P282" s="6">
        <v>43927</v>
      </c>
      <c r="Q282" s="5" t="s">
        <v>31</v>
      </c>
      <c r="R282" s="5" t="s">
        <v>32</v>
      </c>
      <c r="S282" s="5" t="s">
        <v>33</v>
      </c>
      <c r="T282" s="5"/>
      <c r="U282" s="7">
        <v>6096.45</v>
      </c>
      <c r="V282" s="7">
        <v>2628.79</v>
      </c>
      <c r="W282" s="7">
        <v>2427.61</v>
      </c>
      <c r="X282" s="5">
        <v>0</v>
      </c>
      <c r="Y282" s="7">
        <v>1040.05</v>
      </c>
    </row>
    <row r="283" spans="1:25" x14ac:dyDescent="0.25">
      <c r="A283" s="5" t="s">
        <v>26</v>
      </c>
      <c r="B283" s="5" t="s">
        <v>27</v>
      </c>
      <c r="C283" s="5" t="s">
        <v>47</v>
      </c>
      <c r="D283" s="5" t="s">
        <v>164</v>
      </c>
      <c r="E283" s="5" t="s">
        <v>35</v>
      </c>
      <c r="F283" s="5" t="s">
        <v>224</v>
      </c>
      <c r="G283" s="5">
        <v>2019</v>
      </c>
      <c r="H283" s="5" t="str">
        <f>CONCATENATE("94240735483")</f>
        <v>94240735483</v>
      </c>
      <c r="I283" s="5" t="s">
        <v>29</v>
      </c>
      <c r="J283" s="5" t="s">
        <v>36</v>
      </c>
      <c r="K283" s="5" t="str">
        <f>CONCATENATE("")</f>
        <v/>
      </c>
      <c r="L283" s="5" t="str">
        <f>CONCATENATE("10 10.1 4a")</f>
        <v>10 10.1 4a</v>
      </c>
      <c r="M283" s="5" t="str">
        <f>CONCATENATE("DMNRTI46P66I569J")</f>
        <v>DMNRTI46P66I569J</v>
      </c>
      <c r="N283" s="5" t="s">
        <v>386</v>
      </c>
      <c r="O283" s="5" t="s">
        <v>324</v>
      </c>
      <c r="P283" s="6">
        <v>43927</v>
      </c>
      <c r="Q283" s="5" t="s">
        <v>31</v>
      </c>
      <c r="R283" s="5" t="s">
        <v>32</v>
      </c>
      <c r="S283" s="5" t="s">
        <v>33</v>
      </c>
      <c r="T283" s="5"/>
      <c r="U283" s="7">
        <v>1818.15</v>
      </c>
      <c r="V283" s="5">
        <v>783.99</v>
      </c>
      <c r="W283" s="5">
        <v>723.99</v>
      </c>
      <c r="X283" s="5">
        <v>0</v>
      </c>
      <c r="Y283" s="5">
        <v>310.17</v>
      </c>
    </row>
    <row r="284" spans="1:25" ht="24.75" x14ac:dyDescent="0.25">
      <c r="A284" s="5" t="s">
        <v>26</v>
      </c>
      <c r="B284" s="5" t="s">
        <v>27</v>
      </c>
      <c r="C284" s="5" t="s">
        <v>47</v>
      </c>
      <c r="D284" s="5" t="s">
        <v>52</v>
      </c>
      <c r="E284" s="5" t="s">
        <v>28</v>
      </c>
      <c r="F284" s="5" t="s">
        <v>79</v>
      </c>
      <c r="G284" s="5">
        <v>2018</v>
      </c>
      <c r="H284" s="5" t="str">
        <f>CONCATENATE("84240228886")</f>
        <v>84240228886</v>
      </c>
      <c r="I284" s="5" t="s">
        <v>29</v>
      </c>
      <c r="J284" s="5" t="s">
        <v>36</v>
      </c>
      <c r="K284" s="5" t="str">
        <f>CONCATENATE("")</f>
        <v/>
      </c>
      <c r="L284" s="5" t="str">
        <f>CONCATENATE("10 10.1 4a")</f>
        <v>10 10.1 4a</v>
      </c>
      <c r="M284" s="5" t="str">
        <f>CONCATENATE("TRVLRD62L07B636F")</f>
        <v>TRVLRD62L07B636F</v>
      </c>
      <c r="N284" s="5" t="s">
        <v>387</v>
      </c>
      <c r="O284" s="5" t="s">
        <v>324</v>
      </c>
      <c r="P284" s="6">
        <v>43927</v>
      </c>
      <c r="Q284" s="5" t="s">
        <v>31</v>
      </c>
      <c r="R284" s="5" t="s">
        <v>32</v>
      </c>
      <c r="S284" s="5" t="s">
        <v>33</v>
      </c>
      <c r="T284" s="5"/>
      <c r="U284" s="7">
        <v>1080</v>
      </c>
      <c r="V284" s="5">
        <v>465.7</v>
      </c>
      <c r="W284" s="5">
        <v>430.06</v>
      </c>
      <c r="X284" s="5">
        <v>0</v>
      </c>
      <c r="Y284" s="5">
        <v>184.24</v>
      </c>
    </row>
    <row r="285" spans="1:25" x14ac:dyDescent="0.25">
      <c r="A285" s="5" t="s">
        <v>26</v>
      </c>
      <c r="B285" s="5" t="s">
        <v>27</v>
      </c>
      <c r="C285" s="5" t="s">
        <v>47</v>
      </c>
      <c r="D285" s="5" t="s">
        <v>164</v>
      </c>
      <c r="E285" s="5" t="s">
        <v>35</v>
      </c>
      <c r="F285" s="5" t="s">
        <v>224</v>
      </c>
      <c r="G285" s="5">
        <v>2017</v>
      </c>
      <c r="H285" s="5" t="str">
        <f>CONCATENATE("74240200902")</f>
        <v>74240200902</v>
      </c>
      <c r="I285" s="5" t="s">
        <v>29</v>
      </c>
      <c r="J285" s="5" t="s">
        <v>36</v>
      </c>
      <c r="K285" s="5" t="str">
        <f>CONCATENATE("")</f>
        <v/>
      </c>
      <c r="L285" s="5" t="str">
        <f>CONCATENATE("10 10.1 4a")</f>
        <v>10 10.1 4a</v>
      </c>
      <c r="M285" s="5" t="str">
        <f>CONCATENATE("FDLZEI48B19I661A")</f>
        <v>FDLZEI48B19I661A</v>
      </c>
      <c r="N285" s="5" t="s">
        <v>328</v>
      </c>
      <c r="O285" s="5" t="s">
        <v>324</v>
      </c>
      <c r="P285" s="6">
        <v>43927</v>
      </c>
      <c r="Q285" s="5" t="s">
        <v>31</v>
      </c>
      <c r="R285" s="5" t="s">
        <v>32</v>
      </c>
      <c r="S285" s="5" t="s">
        <v>33</v>
      </c>
      <c r="T285" s="5"/>
      <c r="U285" s="7">
        <v>2493.79</v>
      </c>
      <c r="V285" s="7">
        <v>1075.32</v>
      </c>
      <c r="W285" s="5">
        <v>993.03</v>
      </c>
      <c r="X285" s="5">
        <v>0</v>
      </c>
      <c r="Y285" s="5">
        <v>425.44</v>
      </c>
    </row>
    <row r="286" spans="1:25" ht="24.75" x14ac:dyDescent="0.25">
      <c r="A286" s="5" t="s">
        <v>26</v>
      </c>
      <c r="B286" s="5" t="s">
        <v>34</v>
      </c>
      <c r="C286" s="5" t="s">
        <v>47</v>
      </c>
      <c r="D286" s="5" t="s">
        <v>164</v>
      </c>
      <c r="E286" s="5" t="s">
        <v>39</v>
      </c>
      <c r="F286" s="5" t="s">
        <v>39</v>
      </c>
      <c r="G286" s="5">
        <v>2017</v>
      </c>
      <c r="H286" s="5" t="str">
        <f>CONCATENATE("04270032800")</f>
        <v>04270032800</v>
      </c>
      <c r="I286" s="5" t="s">
        <v>29</v>
      </c>
      <c r="J286" s="5" t="s">
        <v>36</v>
      </c>
      <c r="K286" s="5" t="str">
        <f>CONCATENATE("")</f>
        <v/>
      </c>
      <c r="L286" s="5" t="str">
        <f>CONCATENATE("4 4.1 2a")</f>
        <v>4 4.1 2a</v>
      </c>
      <c r="M286" s="5" t="str">
        <f>CONCATENATE("01988400436")</f>
        <v>01988400436</v>
      </c>
      <c r="N286" s="5" t="s">
        <v>388</v>
      </c>
      <c r="O286" s="5" t="s">
        <v>389</v>
      </c>
      <c r="P286" s="6">
        <v>43927</v>
      </c>
      <c r="Q286" s="5" t="s">
        <v>31</v>
      </c>
      <c r="R286" s="5" t="s">
        <v>44</v>
      </c>
      <c r="S286" s="5" t="s">
        <v>33</v>
      </c>
      <c r="T286" s="5"/>
      <c r="U286" s="7">
        <v>62973</v>
      </c>
      <c r="V286" s="7">
        <v>27153.96</v>
      </c>
      <c r="W286" s="7">
        <v>25075.85</v>
      </c>
      <c r="X286" s="5">
        <v>0</v>
      </c>
      <c r="Y286" s="7">
        <v>10743.19</v>
      </c>
    </row>
    <row r="287" spans="1:25" ht="24.75" x14ac:dyDescent="0.25">
      <c r="A287" s="5" t="s">
        <v>26</v>
      </c>
      <c r="B287" s="5" t="s">
        <v>34</v>
      </c>
      <c r="C287" s="5" t="s">
        <v>47</v>
      </c>
      <c r="D287" s="5" t="s">
        <v>102</v>
      </c>
      <c r="E287" s="5" t="s">
        <v>39</v>
      </c>
      <c r="F287" s="5" t="s">
        <v>39</v>
      </c>
      <c r="G287" s="5">
        <v>2017</v>
      </c>
      <c r="H287" s="5" t="str">
        <f>CONCATENATE("94270173696")</f>
        <v>94270173696</v>
      </c>
      <c r="I287" s="5" t="s">
        <v>43</v>
      </c>
      <c r="J287" s="5" t="s">
        <v>36</v>
      </c>
      <c r="K287" s="5" t="str">
        <f>CONCATENATE("")</f>
        <v/>
      </c>
      <c r="L287" s="5" t="str">
        <f>CONCATENATE("6 6.4 2a")</f>
        <v>6 6.4 2a</v>
      </c>
      <c r="M287" s="5" t="str">
        <f>CONCATENATE("02132960440")</f>
        <v>02132960440</v>
      </c>
      <c r="N287" s="5" t="s">
        <v>383</v>
      </c>
      <c r="O287" s="5" t="s">
        <v>390</v>
      </c>
      <c r="P287" s="6">
        <v>43927</v>
      </c>
      <c r="Q287" s="5" t="s">
        <v>31</v>
      </c>
      <c r="R287" s="5" t="s">
        <v>32</v>
      </c>
      <c r="S287" s="5" t="s">
        <v>33</v>
      </c>
      <c r="T287" s="5"/>
      <c r="U287" s="7">
        <v>20935.25</v>
      </c>
      <c r="V287" s="7">
        <v>9027.2800000000007</v>
      </c>
      <c r="W287" s="7">
        <v>8336.42</v>
      </c>
      <c r="X287" s="5">
        <v>0</v>
      </c>
      <c r="Y287" s="7">
        <v>3571.55</v>
      </c>
    </row>
    <row r="288" spans="1:25" ht="24.75" x14ac:dyDescent="0.25">
      <c r="A288" s="5" t="s">
        <v>26</v>
      </c>
      <c r="B288" s="5" t="s">
        <v>27</v>
      </c>
      <c r="C288" s="5" t="s">
        <v>47</v>
      </c>
      <c r="D288" s="5" t="s">
        <v>102</v>
      </c>
      <c r="E288" s="5" t="s">
        <v>39</v>
      </c>
      <c r="F288" s="5" t="s">
        <v>39</v>
      </c>
      <c r="G288" s="5">
        <v>2018</v>
      </c>
      <c r="H288" s="5" t="str">
        <f>CONCATENATE("84240930580")</f>
        <v>84240930580</v>
      </c>
      <c r="I288" s="5" t="s">
        <v>29</v>
      </c>
      <c r="J288" s="5" t="s">
        <v>36</v>
      </c>
      <c r="K288" s="5" t="str">
        <f>CONCATENATE("")</f>
        <v/>
      </c>
      <c r="L288" s="5" t="str">
        <f>CONCATENATE("10 10.1 4a")</f>
        <v>10 10.1 4a</v>
      </c>
      <c r="M288" s="5" t="str">
        <f>CONCATENATE("01983810449")</f>
        <v>01983810449</v>
      </c>
      <c r="N288" s="5" t="s">
        <v>391</v>
      </c>
      <c r="O288" s="5" t="s">
        <v>392</v>
      </c>
      <c r="P288" s="6">
        <v>43927</v>
      </c>
      <c r="Q288" s="5" t="s">
        <v>31</v>
      </c>
      <c r="R288" s="5" t="s">
        <v>32</v>
      </c>
      <c r="S288" s="5" t="s">
        <v>33</v>
      </c>
      <c r="T288" s="5"/>
      <c r="U288" s="7">
        <v>2920.02</v>
      </c>
      <c r="V288" s="7">
        <v>1259.1099999999999</v>
      </c>
      <c r="W288" s="7">
        <v>1162.75</v>
      </c>
      <c r="X288" s="5">
        <v>0</v>
      </c>
      <c r="Y288" s="5">
        <v>498.16</v>
      </c>
    </row>
    <row r="289" spans="1:25" ht="24.75" x14ac:dyDescent="0.25">
      <c r="A289" s="5" t="s">
        <v>26</v>
      </c>
      <c r="B289" s="5" t="s">
        <v>27</v>
      </c>
      <c r="C289" s="5" t="s">
        <v>47</v>
      </c>
      <c r="D289" s="5" t="s">
        <v>102</v>
      </c>
      <c r="E289" s="5" t="s">
        <v>28</v>
      </c>
      <c r="F289" s="5" t="s">
        <v>376</v>
      </c>
      <c r="G289" s="5">
        <v>2018</v>
      </c>
      <c r="H289" s="5" t="str">
        <f>CONCATENATE("84240433478")</f>
        <v>84240433478</v>
      </c>
      <c r="I289" s="5" t="s">
        <v>29</v>
      </c>
      <c r="J289" s="5" t="s">
        <v>36</v>
      </c>
      <c r="K289" s="5" t="str">
        <f>CONCATENATE("")</f>
        <v/>
      </c>
      <c r="L289" s="5" t="str">
        <f>CONCATENATE("10 10.1 4a")</f>
        <v>10 10.1 4a</v>
      </c>
      <c r="M289" s="5" t="str">
        <f>CONCATENATE("VGNLLN61M50Z110B")</f>
        <v>VGNLLN61M50Z110B</v>
      </c>
      <c r="N289" s="5" t="s">
        <v>377</v>
      </c>
      <c r="O289" s="5" t="s">
        <v>392</v>
      </c>
      <c r="P289" s="6">
        <v>43927</v>
      </c>
      <c r="Q289" s="5" t="s">
        <v>31</v>
      </c>
      <c r="R289" s="5" t="s">
        <v>32</v>
      </c>
      <c r="S289" s="5" t="s">
        <v>33</v>
      </c>
      <c r="T289" s="5"/>
      <c r="U289" s="7">
        <v>5160</v>
      </c>
      <c r="V289" s="7">
        <v>2224.9899999999998</v>
      </c>
      <c r="W289" s="7">
        <v>2054.71</v>
      </c>
      <c r="X289" s="5">
        <v>0</v>
      </c>
      <c r="Y289" s="5">
        <v>880.3</v>
      </c>
    </row>
    <row r="290" spans="1:25" ht="24.75" x14ac:dyDescent="0.25">
      <c r="A290" s="5" t="s">
        <v>26</v>
      </c>
      <c r="B290" s="5" t="s">
        <v>27</v>
      </c>
      <c r="C290" s="5" t="s">
        <v>47</v>
      </c>
      <c r="D290" s="5" t="s">
        <v>102</v>
      </c>
      <c r="E290" s="5" t="s">
        <v>37</v>
      </c>
      <c r="F290" s="5" t="s">
        <v>116</v>
      </c>
      <c r="G290" s="5">
        <v>2018</v>
      </c>
      <c r="H290" s="5" t="str">
        <f>CONCATENATE("84241065618")</f>
        <v>84241065618</v>
      </c>
      <c r="I290" s="5" t="s">
        <v>29</v>
      </c>
      <c r="J290" s="5" t="s">
        <v>36</v>
      </c>
      <c r="K290" s="5" t="str">
        <f>CONCATENATE("")</f>
        <v/>
      </c>
      <c r="L290" s="5" t="str">
        <f>CONCATENATE("10 10.1 4a")</f>
        <v>10 10.1 4a</v>
      </c>
      <c r="M290" s="5" t="str">
        <f>CONCATENATE("02274800446")</f>
        <v>02274800446</v>
      </c>
      <c r="N290" s="5" t="s">
        <v>393</v>
      </c>
      <c r="O290" s="5" t="s">
        <v>394</v>
      </c>
      <c r="P290" s="6">
        <v>43927</v>
      </c>
      <c r="Q290" s="5" t="s">
        <v>31</v>
      </c>
      <c r="R290" s="5" t="s">
        <v>32</v>
      </c>
      <c r="S290" s="5" t="s">
        <v>33</v>
      </c>
      <c r="T290" s="5"/>
      <c r="U290" s="7">
        <v>2229.3200000000002</v>
      </c>
      <c r="V290" s="5">
        <v>961.28</v>
      </c>
      <c r="W290" s="5">
        <v>887.72</v>
      </c>
      <c r="X290" s="5">
        <v>0</v>
      </c>
      <c r="Y290" s="5">
        <v>380.32</v>
      </c>
    </row>
    <row r="291" spans="1:25" ht="24.75" x14ac:dyDescent="0.25">
      <c r="A291" s="5" t="s">
        <v>26</v>
      </c>
      <c r="B291" s="5" t="s">
        <v>27</v>
      </c>
      <c r="C291" s="5" t="s">
        <v>47</v>
      </c>
      <c r="D291" s="5" t="s">
        <v>52</v>
      </c>
      <c r="E291" s="5" t="s">
        <v>28</v>
      </c>
      <c r="F291" s="5" t="s">
        <v>395</v>
      </c>
      <c r="G291" s="5">
        <v>2019</v>
      </c>
      <c r="H291" s="5" t="str">
        <f>CONCATENATE("94240428832")</f>
        <v>94240428832</v>
      </c>
      <c r="I291" s="5" t="s">
        <v>29</v>
      </c>
      <c r="J291" s="5" t="s">
        <v>36</v>
      </c>
      <c r="K291" s="5" t="str">
        <f>CONCATENATE("")</f>
        <v/>
      </c>
      <c r="L291" s="5" t="str">
        <f>CONCATENATE("11 11.2 4b")</f>
        <v>11 11.2 4b</v>
      </c>
      <c r="M291" s="5" t="str">
        <f>CONCATENATE("02284860414")</f>
        <v>02284860414</v>
      </c>
      <c r="N291" s="5" t="s">
        <v>396</v>
      </c>
      <c r="O291" s="5" t="s">
        <v>55</v>
      </c>
      <c r="P291" s="6">
        <v>43927</v>
      </c>
      <c r="Q291" s="5" t="s">
        <v>31</v>
      </c>
      <c r="R291" s="5" t="s">
        <v>32</v>
      </c>
      <c r="S291" s="5" t="s">
        <v>33</v>
      </c>
      <c r="T291" s="5"/>
      <c r="U291" s="7">
        <v>14830.19</v>
      </c>
      <c r="V291" s="7">
        <v>6394.78</v>
      </c>
      <c r="W291" s="7">
        <v>5905.38</v>
      </c>
      <c r="X291" s="5">
        <v>0</v>
      </c>
      <c r="Y291" s="7">
        <v>2530.0300000000002</v>
      </c>
    </row>
    <row r="292" spans="1:25" ht="24.75" x14ac:dyDescent="0.25">
      <c r="A292" s="5" t="s">
        <v>26</v>
      </c>
      <c r="B292" s="5" t="s">
        <v>27</v>
      </c>
      <c r="C292" s="5" t="s">
        <v>47</v>
      </c>
      <c r="D292" s="5" t="s">
        <v>52</v>
      </c>
      <c r="E292" s="5" t="s">
        <v>42</v>
      </c>
      <c r="F292" s="5" t="s">
        <v>73</v>
      </c>
      <c r="G292" s="5">
        <v>2019</v>
      </c>
      <c r="H292" s="5" t="str">
        <f>CONCATENATE("94240962699")</f>
        <v>94240962699</v>
      </c>
      <c r="I292" s="5" t="s">
        <v>29</v>
      </c>
      <c r="J292" s="5" t="s">
        <v>36</v>
      </c>
      <c r="K292" s="5" t="str">
        <f>CONCATENATE("")</f>
        <v/>
      </c>
      <c r="L292" s="5" t="str">
        <f>CONCATENATE("11 11.2 4b")</f>
        <v>11 11.2 4b</v>
      </c>
      <c r="M292" s="5" t="str">
        <f>CONCATENATE("01374610416")</f>
        <v>01374610416</v>
      </c>
      <c r="N292" s="5" t="s">
        <v>397</v>
      </c>
      <c r="O292" s="5" t="s">
        <v>55</v>
      </c>
      <c r="P292" s="6">
        <v>43927</v>
      </c>
      <c r="Q292" s="5" t="s">
        <v>31</v>
      </c>
      <c r="R292" s="5" t="s">
        <v>32</v>
      </c>
      <c r="S292" s="5" t="s">
        <v>33</v>
      </c>
      <c r="T292" s="5"/>
      <c r="U292" s="7">
        <v>26918.83</v>
      </c>
      <c r="V292" s="7">
        <v>11607.4</v>
      </c>
      <c r="W292" s="7">
        <v>10719.08</v>
      </c>
      <c r="X292" s="5">
        <v>0</v>
      </c>
      <c r="Y292" s="7">
        <v>4592.3500000000004</v>
      </c>
    </row>
    <row r="293" spans="1:25" ht="24.75" x14ac:dyDescent="0.25">
      <c r="A293" s="5" t="s">
        <v>26</v>
      </c>
      <c r="B293" s="5" t="s">
        <v>27</v>
      </c>
      <c r="C293" s="5" t="s">
        <v>47</v>
      </c>
      <c r="D293" s="5" t="s">
        <v>52</v>
      </c>
      <c r="E293" s="5" t="s">
        <v>35</v>
      </c>
      <c r="F293" s="5" t="s">
        <v>66</v>
      </c>
      <c r="G293" s="5">
        <v>2019</v>
      </c>
      <c r="H293" s="5" t="str">
        <f>CONCATENATE("94240406549")</f>
        <v>94240406549</v>
      </c>
      <c r="I293" s="5" t="s">
        <v>29</v>
      </c>
      <c r="J293" s="5" t="s">
        <v>36</v>
      </c>
      <c r="K293" s="5" t="str">
        <f>CONCATENATE("")</f>
        <v/>
      </c>
      <c r="L293" s="5" t="str">
        <f>CONCATENATE("11 11.1 4b")</f>
        <v>11 11.1 4b</v>
      </c>
      <c r="M293" s="5" t="str">
        <f>CONCATENATE("CCCLSN77R24I459E")</f>
        <v>CCCLSN77R24I459E</v>
      </c>
      <c r="N293" s="5" t="s">
        <v>143</v>
      </c>
      <c r="O293" s="5" t="s">
        <v>55</v>
      </c>
      <c r="P293" s="6">
        <v>43927</v>
      </c>
      <c r="Q293" s="5" t="s">
        <v>31</v>
      </c>
      <c r="R293" s="5" t="s">
        <v>32</v>
      </c>
      <c r="S293" s="5" t="s">
        <v>33</v>
      </c>
      <c r="T293" s="5"/>
      <c r="U293" s="7">
        <v>3677.48</v>
      </c>
      <c r="V293" s="7">
        <v>1585.73</v>
      </c>
      <c r="W293" s="7">
        <v>1464.37</v>
      </c>
      <c r="X293" s="5">
        <v>0</v>
      </c>
      <c r="Y293" s="5">
        <v>627.38</v>
      </c>
    </row>
    <row r="294" spans="1:25" ht="24.75" x14ac:dyDescent="0.25">
      <c r="A294" s="5" t="s">
        <v>26</v>
      </c>
      <c r="B294" s="5" t="s">
        <v>27</v>
      </c>
      <c r="C294" s="5" t="s">
        <v>47</v>
      </c>
      <c r="D294" s="5" t="s">
        <v>52</v>
      </c>
      <c r="E294" s="5" t="s">
        <v>35</v>
      </c>
      <c r="F294" s="5" t="s">
        <v>70</v>
      </c>
      <c r="G294" s="5">
        <v>2019</v>
      </c>
      <c r="H294" s="5" t="str">
        <f>CONCATENATE("94240235534")</f>
        <v>94240235534</v>
      </c>
      <c r="I294" s="5" t="s">
        <v>29</v>
      </c>
      <c r="J294" s="5" t="s">
        <v>36</v>
      </c>
      <c r="K294" s="5" t="str">
        <f>CONCATENATE("")</f>
        <v/>
      </c>
      <c r="L294" s="5" t="str">
        <f>CONCATENATE("11 11.1 4b")</f>
        <v>11 11.1 4b</v>
      </c>
      <c r="M294" s="5" t="str">
        <f>CONCATENATE("PRLMRC88R13L500K")</f>
        <v>PRLMRC88R13L500K</v>
      </c>
      <c r="N294" s="5" t="s">
        <v>398</v>
      </c>
      <c r="O294" s="5" t="s">
        <v>55</v>
      </c>
      <c r="P294" s="6">
        <v>43927</v>
      </c>
      <c r="Q294" s="5" t="s">
        <v>31</v>
      </c>
      <c r="R294" s="5" t="s">
        <v>32</v>
      </c>
      <c r="S294" s="5" t="s">
        <v>33</v>
      </c>
      <c r="T294" s="5"/>
      <c r="U294" s="5">
        <v>233.17</v>
      </c>
      <c r="V294" s="5">
        <v>100.54</v>
      </c>
      <c r="W294" s="5">
        <v>92.85</v>
      </c>
      <c r="X294" s="5">
        <v>0</v>
      </c>
      <c r="Y294" s="5">
        <v>39.78</v>
      </c>
    </row>
    <row r="295" spans="1:25" ht="24.75" x14ac:dyDescent="0.25">
      <c r="A295" s="5" t="s">
        <v>26</v>
      </c>
      <c r="B295" s="5" t="s">
        <v>27</v>
      </c>
      <c r="C295" s="5" t="s">
        <v>47</v>
      </c>
      <c r="D295" s="5" t="s">
        <v>52</v>
      </c>
      <c r="E295" s="5" t="s">
        <v>28</v>
      </c>
      <c r="F295" s="5" t="s">
        <v>60</v>
      </c>
      <c r="G295" s="5">
        <v>2019</v>
      </c>
      <c r="H295" s="5" t="str">
        <f>CONCATENATE("94240147796")</f>
        <v>94240147796</v>
      </c>
      <c r="I295" s="5" t="s">
        <v>29</v>
      </c>
      <c r="J295" s="5" t="s">
        <v>36</v>
      </c>
      <c r="K295" s="5" t="str">
        <f>CONCATENATE("")</f>
        <v/>
      </c>
      <c r="L295" s="5" t="str">
        <f>CONCATENATE("11 11.1 4b")</f>
        <v>11 11.1 4b</v>
      </c>
      <c r="M295" s="5" t="str">
        <f>CONCATENATE("RTNGNN64L17G514A")</f>
        <v>RTNGNN64L17G514A</v>
      </c>
      <c r="N295" s="5" t="s">
        <v>399</v>
      </c>
      <c r="O295" s="5" t="s">
        <v>55</v>
      </c>
      <c r="P295" s="6">
        <v>43927</v>
      </c>
      <c r="Q295" s="5" t="s">
        <v>31</v>
      </c>
      <c r="R295" s="5" t="s">
        <v>32</v>
      </c>
      <c r="S295" s="5" t="s">
        <v>33</v>
      </c>
      <c r="T295" s="5"/>
      <c r="U295" s="5">
        <v>188.08</v>
      </c>
      <c r="V295" s="5">
        <v>81.099999999999994</v>
      </c>
      <c r="W295" s="5">
        <v>74.89</v>
      </c>
      <c r="X295" s="5">
        <v>0</v>
      </c>
      <c r="Y295" s="5">
        <v>32.090000000000003</v>
      </c>
    </row>
    <row r="296" spans="1:25" ht="24.75" x14ac:dyDescent="0.25">
      <c r="A296" s="5" t="s">
        <v>26</v>
      </c>
      <c r="B296" s="5" t="s">
        <v>27</v>
      </c>
      <c r="C296" s="5" t="s">
        <v>47</v>
      </c>
      <c r="D296" s="5" t="s">
        <v>52</v>
      </c>
      <c r="E296" s="5" t="s">
        <v>40</v>
      </c>
      <c r="F296" s="5" t="s">
        <v>62</v>
      </c>
      <c r="G296" s="5">
        <v>2019</v>
      </c>
      <c r="H296" s="5" t="str">
        <f>CONCATENATE("94240090418")</f>
        <v>94240090418</v>
      </c>
      <c r="I296" s="5" t="s">
        <v>29</v>
      </c>
      <c r="J296" s="5" t="s">
        <v>36</v>
      </c>
      <c r="K296" s="5" t="str">
        <f>CONCATENATE("")</f>
        <v/>
      </c>
      <c r="L296" s="5" t="str">
        <f>CONCATENATE("11 11.1 4b")</f>
        <v>11 11.1 4b</v>
      </c>
      <c r="M296" s="5" t="str">
        <f>CONCATENATE("02576080416")</f>
        <v>02576080416</v>
      </c>
      <c r="N296" s="5" t="s">
        <v>400</v>
      </c>
      <c r="O296" s="5" t="s">
        <v>55</v>
      </c>
      <c r="P296" s="6">
        <v>43927</v>
      </c>
      <c r="Q296" s="5" t="s">
        <v>31</v>
      </c>
      <c r="R296" s="5" t="s">
        <v>32</v>
      </c>
      <c r="S296" s="5" t="s">
        <v>33</v>
      </c>
      <c r="T296" s="5"/>
      <c r="U296" s="5">
        <v>135.9</v>
      </c>
      <c r="V296" s="5">
        <v>58.6</v>
      </c>
      <c r="W296" s="5">
        <v>54.12</v>
      </c>
      <c r="X296" s="5">
        <v>0</v>
      </c>
      <c r="Y296" s="5">
        <v>23.18</v>
      </c>
    </row>
    <row r="297" spans="1:25" ht="24.75" x14ac:dyDescent="0.25">
      <c r="A297" s="5" t="s">
        <v>26</v>
      </c>
      <c r="B297" s="5" t="s">
        <v>27</v>
      </c>
      <c r="C297" s="5" t="s">
        <v>47</v>
      </c>
      <c r="D297" s="5" t="s">
        <v>52</v>
      </c>
      <c r="E297" s="5" t="s">
        <v>40</v>
      </c>
      <c r="F297" s="5" t="s">
        <v>62</v>
      </c>
      <c r="G297" s="5">
        <v>2019</v>
      </c>
      <c r="H297" s="5" t="str">
        <f>CONCATENATE("94241021347")</f>
        <v>94241021347</v>
      </c>
      <c r="I297" s="5" t="s">
        <v>29</v>
      </c>
      <c r="J297" s="5" t="s">
        <v>36</v>
      </c>
      <c r="K297" s="5" t="str">
        <f>CONCATENATE("")</f>
        <v/>
      </c>
      <c r="L297" s="5" t="str">
        <f>CONCATENATE("11 11.1 4b")</f>
        <v>11 11.1 4b</v>
      </c>
      <c r="M297" s="5" t="str">
        <f>CONCATENATE("02573370414")</f>
        <v>02573370414</v>
      </c>
      <c r="N297" s="5" t="s">
        <v>401</v>
      </c>
      <c r="O297" s="5" t="s">
        <v>55</v>
      </c>
      <c r="P297" s="6">
        <v>43927</v>
      </c>
      <c r="Q297" s="5" t="s">
        <v>31</v>
      </c>
      <c r="R297" s="5" t="s">
        <v>32</v>
      </c>
      <c r="S297" s="5" t="s">
        <v>33</v>
      </c>
      <c r="T297" s="5"/>
      <c r="U297" s="5">
        <v>279.10000000000002</v>
      </c>
      <c r="V297" s="5">
        <v>120.35</v>
      </c>
      <c r="W297" s="5">
        <v>111.14</v>
      </c>
      <c r="X297" s="5">
        <v>0</v>
      </c>
      <c r="Y297" s="5">
        <v>47.61</v>
      </c>
    </row>
    <row r="298" spans="1:25" ht="24.75" x14ac:dyDescent="0.25">
      <c r="A298" s="5" t="s">
        <v>26</v>
      </c>
      <c r="B298" s="5" t="s">
        <v>27</v>
      </c>
      <c r="C298" s="5" t="s">
        <v>47</v>
      </c>
      <c r="D298" s="5" t="s">
        <v>52</v>
      </c>
      <c r="E298" s="5" t="s">
        <v>40</v>
      </c>
      <c r="F298" s="5" t="s">
        <v>62</v>
      </c>
      <c r="G298" s="5">
        <v>2019</v>
      </c>
      <c r="H298" s="5" t="str">
        <f>CONCATENATE("94240122195")</f>
        <v>94240122195</v>
      </c>
      <c r="I298" s="5" t="s">
        <v>29</v>
      </c>
      <c r="J298" s="5" t="s">
        <v>36</v>
      </c>
      <c r="K298" s="5" t="str">
        <f>CONCATENATE("")</f>
        <v/>
      </c>
      <c r="L298" s="5" t="str">
        <f>CONCATENATE("11 11.1 4b")</f>
        <v>11 11.1 4b</v>
      </c>
      <c r="M298" s="5" t="str">
        <f>CONCATENATE("02568350413")</f>
        <v>02568350413</v>
      </c>
      <c r="N298" s="5" t="s">
        <v>402</v>
      </c>
      <c r="O298" s="5" t="s">
        <v>55</v>
      </c>
      <c r="P298" s="6">
        <v>43927</v>
      </c>
      <c r="Q298" s="5" t="s">
        <v>31</v>
      </c>
      <c r="R298" s="5" t="s">
        <v>32</v>
      </c>
      <c r="S298" s="5" t="s">
        <v>33</v>
      </c>
      <c r="T298" s="5"/>
      <c r="U298" s="5">
        <v>719.86</v>
      </c>
      <c r="V298" s="5">
        <v>310.39999999999998</v>
      </c>
      <c r="W298" s="5">
        <v>286.64999999999998</v>
      </c>
      <c r="X298" s="5">
        <v>0</v>
      </c>
      <c r="Y298" s="5">
        <v>122.81</v>
      </c>
    </row>
    <row r="299" spans="1:25" ht="24.75" x14ac:dyDescent="0.25">
      <c r="A299" s="5" t="s">
        <v>26</v>
      </c>
      <c r="B299" s="5" t="s">
        <v>27</v>
      </c>
      <c r="C299" s="5" t="s">
        <v>47</v>
      </c>
      <c r="D299" s="5" t="s">
        <v>52</v>
      </c>
      <c r="E299" s="5" t="s">
        <v>28</v>
      </c>
      <c r="F299" s="5" t="s">
        <v>258</v>
      </c>
      <c r="G299" s="5">
        <v>2019</v>
      </c>
      <c r="H299" s="5" t="str">
        <f>CONCATENATE("94240904634")</f>
        <v>94240904634</v>
      </c>
      <c r="I299" s="5" t="s">
        <v>29</v>
      </c>
      <c r="J299" s="5" t="s">
        <v>36</v>
      </c>
      <c r="K299" s="5" t="str">
        <f>CONCATENATE("")</f>
        <v/>
      </c>
      <c r="L299" s="5" t="str">
        <f>CONCATENATE("11 11.2 4b")</f>
        <v>11 11.2 4b</v>
      </c>
      <c r="M299" s="5" t="str">
        <f>CONCATENATE("SVLNDR73S08G479M")</f>
        <v>SVLNDR73S08G479M</v>
      </c>
      <c r="N299" s="5" t="s">
        <v>403</v>
      </c>
      <c r="O299" s="5" t="s">
        <v>55</v>
      </c>
      <c r="P299" s="6">
        <v>43927</v>
      </c>
      <c r="Q299" s="5" t="s">
        <v>31</v>
      </c>
      <c r="R299" s="5" t="s">
        <v>32</v>
      </c>
      <c r="S299" s="5" t="s">
        <v>33</v>
      </c>
      <c r="T299" s="5"/>
      <c r="U299" s="7">
        <v>1400.76</v>
      </c>
      <c r="V299" s="5">
        <v>604.01</v>
      </c>
      <c r="W299" s="5">
        <v>557.78</v>
      </c>
      <c r="X299" s="5">
        <v>0</v>
      </c>
      <c r="Y299" s="5">
        <v>238.97</v>
      </c>
    </row>
    <row r="300" spans="1:25" ht="24.75" x14ac:dyDescent="0.25">
      <c r="A300" s="5" t="s">
        <v>26</v>
      </c>
      <c r="B300" s="5" t="s">
        <v>27</v>
      </c>
      <c r="C300" s="5" t="s">
        <v>47</v>
      </c>
      <c r="D300" s="5" t="s">
        <v>52</v>
      </c>
      <c r="E300" s="5" t="s">
        <v>38</v>
      </c>
      <c r="F300" s="5" t="s">
        <v>81</v>
      </c>
      <c r="G300" s="5">
        <v>2019</v>
      </c>
      <c r="H300" s="5" t="str">
        <f>CONCATENATE("94240740517")</f>
        <v>94240740517</v>
      </c>
      <c r="I300" s="5" t="s">
        <v>29</v>
      </c>
      <c r="J300" s="5" t="s">
        <v>36</v>
      </c>
      <c r="K300" s="5" t="str">
        <f>CONCATENATE("")</f>
        <v/>
      </c>
      <c r="L300" s="5" t="str">
        <f>CONCATENATE("11 11.1 4b")</f>
        <v>11 11.1 4b</v>
      </c>
      <c r="M300" s="5" t="str">
        <f>CONCATENATE("CVRFNC57D25G479Q")</f>
        <v>CVRFNC57D25G479Q</v>
      </c>
      <c r="N300" s="5" t="s">
        <v>404</v>
      </c>
      <c r="O300" s="5" t="s">
        <v>55</v>
      </c>
      <c r="P300" s="6">
        <v>43927</v>
      </c>
      <c r="Q300" s="5" t="s">
        <v>31</v>
      </c>
      <c r="R300" s="5" t="s">
        <v>32</v>
      </c>
      <c r="S300" s="5" t="s">
        <v>33</v>
      </c>
      <c r="T300" s="5"/>
      <c r="U300" s="5">
        <v>217.44</v>
      </c>
      <c r="V300" s="5">
        <v>93.76</v>
      </c>
      <c r="W300" s="5">
        <v>86.58</v>
      </c>
      <c r="X300" s="5">
        <v>0</v>
      </c>
      <c r="Y300" s="5">
        <v>37.1</v>
      </c>
    </row>
    <row r="301" spans="1:25" ht="24.75" x14ac:dyDescent="0.25">
      <c r="A301" s="5" t="s">
        <v>26</v>
      </c>
      <c r="B301" s="5" t="s">
        <v>27</v>
      </c>
      <c r="C301" s="5" t="s">
        <v>47</v>
      </c>
      <c r="D301" s="5" t="s">
        <v>52</v>
      </c>
      <c r="E301" s="5" t="s">
        <v>35</v>
      </c>
      <c r="F301" s="5" t="s">
        <v>91</v>
      </c>
      <c r="G301" s="5">
        <v>2018</v>
      </c>
      <c r="H301" s="5" t="str">
        <f>CONCATENATE("84240557292")</f>
        <v>84240557292</v>
      </c>
      <c r="I301" s="5" t="s">
        <v>29</v>
      </c>
      <c r="J301" s="5" t="s">
        <v>36</v>
      </c>
      <c r="K301" s="5" t="str">
        <f>CONCATENATE("")</f>
        <v/>
      </c>
      <c r="L301" s="5" t="str">
        <f>CONCATENATE("11 11.1 4b")</f>
        <v>11 11.1 4b</v>
      </c>
      <c r="M301" s="5" t="str">
        <f>CONCATENATE("MRTLCU71T11C745Y")</f>
        <v>MRTLCU71T11C745Y</v>
      </c>
      <c r="N301" s="5" t="s">
        <v>405</v>
      </c>
      <c r="O301" s="5" t="s">
        <v>55</v>
      </c>
      <c r="P301" s="6">
        <v>43927</v>
      </c>
      <c r="Q301" s="5" t="s">
        <v>31</v>
      </c>
      <c r="R301" s="5" t="s">
        <v>32</v>
      </c>
      <c r="S301" s="5" t="s">
        <v>33</v>
      </c>
      <c r="T301" s="5"/>
      <c r="U301" s="7">
        <v>4224.6899999999996</v>
      </c>
      <c r="V301" s="7">
        <v>1821.69</v>
      </c>
      <c r="W301" s="7">
        <v>1682.27</v>
      </c>
      <c r="X301" s="5">
        <v>0</v>
      </c>
      <c r="Y301" s="5">
        <v>720.73</v>
      </c>
    </row>
    <row r="302" spans="1:25" ht="24.75" x14ac:dyDescent="0.25">
      <c r="A302" s="5" t="s">
        <v>26</v>
      </c>
      <c r="B302" s="5" t="s">
        <v>27</v>
      </c>
      <c r="C302" s="5" t="s">
        <v>47</v>
      </c>
      <c r="D302" s="5" t="s">
        <v>52</v>
      </c>
      <c r="E302" s="5" t="s">
        <v>35</v>
      </c>
      <c r="F302" s="5" t="s">
        <v>91</v>
      </c>
      <c r="G302" s="5">
        <v>2019</v>
      </c>
      <c r="H302" s="5" t="str">
        <f>CONCATENATE("94240519507")</f>
        <v>94240519507</v>
      </c>
      <c r="I302" s="5" t="s">
        <v>29</v>
      </c>
      <c r="J302" s="5" t="s">
        <v>36</v>
      </c>
      <c r="K302" s="5" t="str">
        <f>CONCATENATE("")</f>
        <v/>
      </c>
      <c r="L302" s="5" t="str">
        <f>CONCATENATE("11 11.1 4b")</f>
        <v>11 11.1 4b</v>
      </c>
      <c r="M302" s="5" t="str">
        <f>CONCATENATE("MRTLCU71T11C745Y")</f>
        <v>MRTLCU71T11C745Y</v>
      </c>
      <c r="N302" s="5" t="s">
        <v>405</v>
      </c>
      <c r="O302" s="5" t="s">
        <v>55</v>
      </c>
      <c r="P302" s="6">
        <v>43927</v>
      </c>
      <c r="Q302" s="5" t="s">
        <v>31</v>
      </c>
      <c r="R302" s="5" t="s">
        <v>32</v>
      </c>
      <c r="S302" s="5" t="s">
        <v>33</v>
      </c>
      <c r="T302" s="5"/>
      <c r="U302" s="7">
        <v>4224.6899999999996</v>
      </c>
      <c r="V302" s="7">
        <v>1821.69</v>
      </c>
      <c r="W302" s="7">
        <v>1682.27</v>
      </c>
      <c r="X302" s="5">
        <v>0</v>
      </c>
      <c r="Y302" s="5">
        <v>720.73</v>
      </c>
    </row>
    <row r="303" spans="1:25" ht="24.75" x14ac:dyDescent="0.25">
      <c r="A303" s="5" t="s">
        <v>26</v>
      </c>
      <c r="B303" s="5" t="s">
        <v>27</v>
      </c>
      <c r="C303" s="5" t="s">
        <v>47</v>
      </c>
      <c r="D303" s="5" t="s">
        <v>102</v>
      </c>
      <c r="E303" s="5" t="s">
        <v>38</v>
      </c>
      <c r="F303" s="5" t="s">
        <v>156</v>
      </c>
      <c r="G303" s="5">
        <v>2019</v>
      </c>
      <c r="H303" s="5" t="str">
        <f>CONCATENATE("94241693798")</f>
        <v>94241693798</v>
      </c>
      <c r="I303" s="5" t="s">
        <v>29</v>
      </c>
      <c r="J303" s="5" t="s">
        <v>36</v>
      </c>
      <c r="K303" s="5" t="str">
        <f>CONCATENATE("")</f>
        <v/>
      </c>
      <c r="L303" s="5" t="str">
        <f>CONCATENATE("11 11.2 4b")</f>
        <v>11 11.2 4b</v>
      </c>
      <c r="M303" s="5" t="str">
        <f>CONCATENATE("TLMGPP37E68E868H")</f>
        <v>TLMGPP37E68E868H</v>
      </c>
      <c r="N303" s="5" t="s">
        <v>157</v>
      </c>
      <c r="O303" s="5" t="s">
        <v>55</v>
      </c>
      <c r="P303" s="6">
        <v>43927</v>
      </c>
      <c r="Q303" s="5" t="s">
        <v>31</v>
      </c>
      <c r="R303" s="5" t="s">
        <v>32</v>
      </c>
      <c r="S303" s="5" t="s">
        <v>33</v>
      </c>
      <c r="T303" s="5"/>
      <c r="U303" s="7">
        <v>1530.58</v>
      </c>
      <c r="V303" s="5">
        <v>659.99</v>
      </c>
      <c r="W303" s="5">
        <v>609.48</v>
      </c>
      <c r="X303" s="5">
        <v>0</v>
      </c>
      <c r="Y303" s="5">
        <v>261.11</v>
      </c>
    </row>
    <row r="304" spans="1:25" ht="24.75" x14ac:dyDescent="0.25">
      <c r="A304" s="5" t="s">
        <v>26</v>
      </c>
      <c r="B304" s="5" t="s">
        <v>27</v>
      </c>
      <c r="C304" s="5" t="s">
        <v>47</v>
      </c>
      <c r="D304" s="5" t="s">
        <v>52</v>
      </c>
      <c r="E304" s="5" t="s">
        <v>35</v>
      </c>
      <c r="F304" s="5" t="s">
        <v>145</v>
      </c>
      <c r="G304" s="5">
        <v>2019</v>
      </c>
      <c r="H304" s="5" t="str">
        <f>CONCATENATE("94241692535")</f>
        <v>94241692535</v>
      </c>
      <c r="I304" s="5" t="s">
        <v>29</v>
      </c>
      <c r="J304" s="5" t="s">
        <v>36</v>
      </c>
      <c r="K304" s="5" t="str">
        <f>CONCATENATE("")</f>
        <v/>
      </c>
      <c r="L304" s="5" t="str">
        <f>CONCATENATE("11 11.2 4b")</f>
        <v>11 11.2 4b</v>
      </c>
      <c r="M304" s="5" t="str">
        <f>CONCATENATE("SRTMNL64B49G453B")</f>
        <v>SRTMNL64B49G453B</v>
      </c>
      <c r="N304" s="5" t="s">
        <v>406</v>
      </c>
      <c r="O304" s="5" t="s">
        <v>55</v>
      </c>
      <c r="P304" s="6">
        <v>43927</v>
      </c>
      <c r="Q304" s="5" t="s">
        <v>31</v>
      </c>
      <c r="R304" s="5" t="s">
        <v>32</v>
      </c>
      <c r="S304" s="5" t="s">
        <v>33</v>
      </c>
      <c r="T304" s="5"/>
      <c r="U304" s="5">
        <v>272.56</v>
      </c>
      <c r="V304" s="5">
        <v>117.53</v>
      </c>
      <c r="W304" s="5">
        <v>108.53</v>
      </c>
      <c r="X304" s="5">
        <v>0</v>
      </c>
      <c r="Y304" s="5">
        <v>46.5</v>
      </c>
    </row>
    <row r="305" spans="1:25" ht="24.75" x14ac:dyDescent="0.25">
      <c r="A305" s="5" t="s">
        <v>26</v>
      </c>
      <c r="B305" s="5" t="s">
        <v>27</v>
      </c>
      <c r="C305" s="5" t="s">
        <v>47</v>
      </c>
      <c r="D305" s="5" t="s">
        <v>48</v>
      </c>
      <c r="E305" s="5" t="s">
        <v>35</v>
      </c>
      <c r="F305" s="5" t="s">
        <v>49</v>
      </c>
      <c r="G305" s="5">
        <v>2019</v>
      </c>
      <c r="H305" s="5" t="str">
        <f>CONCATENATE("94240645823")</f>
        <v>94240645823</v>
      </c>
      <c r="I305" s="5" t="s">
        <v>29</v>
      </c>
      <c r="J305" s="5" t="s">
        <v>36</v>
      </c>
      <c r="K305" s="5" t="str">
        <f>CONCATENATE("")</f>
        <v/>
      </c>
      <c r="L305" s="5" t="str">
        <f>CONCATENATE("11 11.2 4b")</f>
        <v>11 11.2 4b</v>
      </c>
      <c r="M305" s="5" t="str">
        <f>CONCATENATE("VLNSRA94T54I608G")</f>
        <v>VLNSRA94T54I608G</v>
      </c>
      <c r="N305" s="5" t="s">
        <v>407</v>
      </c>
      <c r="O305" s="5" t="s">
        <v>55</v>
      </c>
      <c r="P305" s="6">
        <v>43927</v>
      </c>
      <c r="Q305" s="5" t="s">
        <v>31</v>
      </c>
      <c r="R305" s="5" t="s">
        <v>32</v>
      </c>
      <c r="S305" s="5" t="s">
        <v>33</v>
      </c>
      <c r="T305" s="5"/>
      <c r="U305" s="7">
        <v>4020.19</v>
      </c>
      <c r="V305" s="7">
        <v>1733.51</v>
      </c>
      <c r="W305" s="7">
        <v>1600.84</v>
      </c>
      <c r="X305" s="5">
        <v>0</v>
      </c>
      <c r="Y305" s="5">
        <v>685.84</v>
      </c>
    </row>
    <row r="306" spans="1:25" ht="24.75" x14ac:dyDescent="0.25">
      <c r="A306" s="5" t="s">
        <v>26</v>
      </c>
      <c r="B306" s="5" t="s">
        <v>27</v>
      </c>
      <c r="C306" s="5" t="s">
        <v>47</v>
      </c>
      <c r="D306" s="5" t="s">
        <v>48</v>
      </c>
      <c r="E306" s="5" t="s">
        <v>42</v>
      </c>
      <c r="F306" s="5" t="s">
        <v>408</v>
      </c>
      <c r="G306" s="5">
        <v>2019</v>
      </c>
      <c r="H306" s="5" t="str">
        <f>CONCATENATE("94240785884")</f>
        <v>94240785884</v>
      </c>
      <c r="I306" s="5" t="s">
        <v>29</v>
      </c>
      <c r="J306" s="5" t="s">
        <v>36</v>
      </c>
      <c r="K306" s="5" t="str">
        <f>CONCATENATE("")</f>
        <v/>
      </c>
      <c r="L306" s="5" t="str">
        <f>CONCATENATE("11 11.2 4b")</f>
        <v>11 11.2 4b</v>
      </c>
      <c r="M306" s="5" t="str">
        <f>CONCATENATE("GNNGRG89D13A271T")</f>
        <v>GNNGRG89D13A271T</v>
      </c>
      <c r="N306" s="5" t="s">
        <v>409</v>
      </c>
      <c r="O306" s="5" t="s">
        <v>55</v>
      </c>
      <c r="P306" s="6">
        <v>43927</v>
      </c>
      <c r="Q306" s="5" t="s">
        <v>31</v>
      </c>
      <c r="R306" s="5" t="s">
        <v>32</v>
      </c>
      <c r="S306" s="5" t="s">
        <v>33</v>
      </c>
      <c r="T306" s="5"/>
      <c r="U306" s="7">
        <v>1897.79</v>
      </c>
      <c r="V306" s="5">
        <v>818.33</v>
      </c>
      <c r="W306" s="5">
        <v>755.7</v>
      </c>
      <c r="X306" s="5">
        <v>0</v>
      </c>
      <c r="Y306" s="5">
        <v>323.76</v>
      </c>
    </row>
    <row r="307" spans="1:25" ht="24.75" x14ac:dyDescent="0.25">
      <c r="A307" s="5" t="s">
        <v>26</v>
      </c>
      <c r="B307" s="5" t="s">
        <v>27</v>
      </c>
      <c r="C307" s="5" t="s">
        <v>47</v>
      </c>
      <c r="D307" s="5" t="s">
        <v>52</v>
      </c>
      <c r="E307" s="5" t="s">
        <v>40</v>
      </c>
      <c r="F307" s="5" t="s">
        <v>64</v>
      </c>
      <c r="G307" s="5">
        <v>2019</v>
      </c>
      <c r="H307" s="5" t="str">
        <f>CONCATENATE("94241003121")</f>
        <v>94241003121</v>
      </c>
      <c r="I307" s="5" t="s">
        <v>29</v>
      </c>
      <c r="J307" s="5" t="s">
        <v>36</v>
      </c>
      <c r="K307" s="5" t="str">
        <f>CONCATENATE("")</f>
        <v/>
      </c>
      <c r="L307" s="5" t="str">
        <f>CONCATENATE("11 11.2 4b")</f>
        <v>11 11.2 4b</v>
      </c>
      <c r="M307" s="5" t="str">
        <f>CONCATENATE("GMBGRL67S12L500N")</f>
        <v>GMBGRL67S12L500N</v>
      </c>
      <c r="N307" s="5" t="s">
        <v>138</v>
      </c>
      <c r="O307" s="5" t="s">
        <v>55</v>
      </c>
      <c r="P307" s="6">
        <v>43927</v>
      </c>
      <c r="Q307" s="5" t="s">
        <v>31</v>
      </c>
      <c r="R307" s="5" t="s">
        <v>32</v>
      </c>
      <c r="S307" s="5" t="s">
        <v>33</v>
      </c>
      <c r="T307" s="5"/>
      <c r="U307" s="7">
        <v>3045.19</v>
      </c>
      <c r="V307" s="7">
        <v>1313.09</v>
      </c>
      <c r="W307" s="7">
        <v>1212.5899999999999</v>
      </c>
      <c r="X307" s="5">
        <v>0</v>
      </c>
      <c r="Y307" s="5">
        <v>519.51</v>
      </c>
    </row>
    <row r="308" spans="1:25" ht="24.75" x14ac:dyDescent="0.25">
      <c r="A308" s="5" t="s">
        <v>26</v>
      </c>
      <c r="B308" s="5" t="s">
        <v>27</v>
      </c>
      <c r="C308" s="5" t="s">
        <v>47</v>
      </c>
      <c r="D308" s="5" t="s">
        <v>52</v>
      </c>
      <c r="E308" s="5" t="s">
        <v>40</v>
      </c>
      <c r="F308" s="5" t="s">
        <v>62</v>
      </c>
      <c r="G308" s="5">
        <v>2019</v>
      </c>
      <c r="H308" s="5" t="str">
        <f>CONCATENATE("94240763410")</f>
        <v>94240763410</v>
      </c>
      <c r="I308" s="5" t="s">
        <v>29</v>
      </c>
      <c r="J308" s="5" t="s">
        <v>36</v>
      </c>
      <c r="K308" s="5" t="str">
        <f>CONCATENATE("")</f>
        <v/>
      </c>
      <c r="L308" s="5" t="str">
        <f>CONCATENATE("11 11.2 4b")</f>
        <v>11 11.2 4b</v>
      </c>
      <c r="M308" s="5" t="str">
        <f>CONCATENATE("00456890417")</f>
        <v>00456890417</v>
      </c>
      <c r="N308" s="5" t="s">
        <v>410</v>
      </c>
      <c r="O308" s="5" t="s">
        <v>55</v>
      </c>
      <c r="P308" s="6">
        <v>43927</v>
      </c>
      <c r="Q308" s="5" t="s">
        <v>31</v>
      </c>
      <c r="R308" s="5" t="s">
        <v>32</v>
      </c>
      <c r="S308" s="5" t="s">
        <v>33</v>
      </c>
      <c r="T308" s="5"/>
      <c r="U308" s="7">
        <v>2110.2600000000002</v>
      </c>
      <c r="V308" s="5">
        <v>909.94</v>
      </c>
      <c r="W308" s="5">
        <v>840.31</v>
      </c>
      <c r="X308" s="5">
        <v>0</v>
      </c>
      <c r="Y308" s="5">
        <v>360.01</v>
      </c>
    </row>
    <row r="309" spans="1:25" ht="24.75" x14ac:dyDescent="0.25">
      <c r="A309" s="5" t="s">
        <v>26</v>
      </c>
      <c r="B309" s="5" t="s">
        <v>27</v>
      </c>
      <c r="C309" s="5" t="s">
        <v>47</v>
      </c>
      <c r="D309" s="5" t="s">
        <v>52</v>
      </c>
      <c r="E309" s="5" t="s">
        <v>38</v>
      </c>
      <c r="F309" s="5" t="s">
        <v>81</v>
      </c>
      <c r="G309" s="5">
        <v>2019</v>
      </c>
      <c r="H309" s="5" t="str">
        <f>CONCATENATE("94240883432")</f>
        <v>94240883432</v>
      </c>
      <c r="I309" s="5" t="s">
        <v>29</v>
      </c>
      <c r="J309" s="5" t="s">
        <v>36</v>
      </c>
      <c r="K309" s="5" t="str">
        <f>CONCATENATE("")</f>
        <v/>
      </c>
      <c r="L309" s="5" t="str">
        <f>CONCATENATE("11 11.2 4b")</f>
        <v>11 11.2 4b</v>
      </c>
      <c r="M309" s="5" t="str">
        <f>CONCATENATE("FRLSFN76R28G479R")</f>
        <v>FRLSFN76R28G479R</v>
      </c>
      <c r="N309" s="5" t="s">
        <v>411</v>
      </c>
      <c r="O309" s="5" t="s">
        <v>55</v>
      </c>
      <c r="P309" s="6">
        <v>43927</v>
      </c>
      <c r="Q309" s="5" t="s">
        <v>31</v>
      </c>
      <c r="R309" s="5" t="s">
        <v>32</v>
      </c>
      <c r="S309" s="5" t="s">
        <v>33</v>
      </c>
      <c r="T309" s="5"/>
      <c r="U309" s="7">
        <v>1136.82</v>
      </c>
      <c r="V309" s="5">
        <v>490.2</v>
      </c>
      <c r="W309" s="5">
        <v>452.68</v>
      </c>
      <c r="X309" s="5">
        <v>0</v>
      </c>
      <c r="Y309" s="5">
        <v>193.94</v>
      </c>
    </row>
    <row r="310" spans="1:25" ht="24.75" x14ac:dyDescent="0.25">
      <c r="A310" s="5" t="s">
        <v>26</v>
      </c>
      <c r="B310" s="5" t="s">
        <v>27</v>
      </c>
      <c r="C310" s="5" t="s">
        <v>47</v>
      </c>
      <c r="D310" s="5" t="s">
        <v>102</v>
      </c>
      <c r="E310" s="5" t="s">
        <v>35</v>
      </c>
      <c r="F310" s="5" t="s">
        <v>197</v>
      </c>
      <c r="G310" s="5">
        <v>2018</v>
      </c>
      <c r="H310" s="5" t="str">
        <f>CONCATENATE("84240853832")</f>
        <v>84240853832</v>
      </c>
      <c r="I310" s="5" t="s">
        <v>29</v>
      </c>
      <c r="J310" s="5" t="s">
        <v>36</v>
      </c>
      <c r="K310" s="5" t="str">
        <f>CONCATENATE("")</f>
        <v/>
      </c>
      <c r="L310" s="5" t="str">
        <f>CONCATENATE("10 10.1 4a")</f>
        <v>10 10.1 4a</v>
      </c>
      <c r="M310" s="5" t="str">
        <f>CONCATENATE("BRDRSN69E12D542A")</f>
        <v>BRDRSN69E12D542A</v>
      </c>
      <c r="N310" s="5" t="s">
        <v>412</v>
      </c>
      <c r="O310" s="5" t="s">
        <v>392</v>
      </c>
      <c r="P310" s="6">
        <v>43927</v>
      </c>
      <c r="Q310" s="5" t="s">
        <v>31</v>
      </c>
      <c r="R310" s="5" t="s">
        <v>32</v>
      </c>
      <c r="S310" s="5" t="s">
        <v>33</v>
      </c>
      <c r="T310" s="5"/>
      <c r="U310" s="5">
        <v>211.96</v>
      </c>
      <c r="V310" s="5">
        <v>91.4</v>
      </c>
      <c r="W310" s="5">
        <v>84.4</v>
      </c>
      <c r="X310" s="5">
        <v>0</v>
      </c>
      <c r="Y310" s="5">
        <v>36.159999999999997</v>
      </c>
    </row>
    <row r="311" spans="1:25" ht="24.75" x14ac:dyDescent="0.25">
      <c r="A311" s="5" t="s">
        <v>26</v>
      </c>
      <c r="B311" s="5" t="s">
        <v>27</v>
      </c>
      <c r="C311" s="5" t="s">
        <v>47</v>
      </c>
      <c r="D311" s="5" t="s">
        <v>102</v>
      </c>
      <c r="E311" s="5" t="s">
        <v>35</v>
      </c>
      <c r="F311" s="5" t="s">
        <v>197</v>
      </c>
      <c r="G311" s="5">
        <v>2017</v>
      </c>
      <c r="H311" s="5" t="str">
        <f>CONCATENATE("74240917737")</f>
        <v>74240917737</v>
      </c>
      <c r="I311" s="5" t="s">
        <v>29</v>
      </c>
      <c r="J311" s="5" t="s">
        <v>36</v>
      </c>
      <c r="K311" s="5" t="str">
        <f>CONCATENATE("")</f>
        <v/>
      </c>
      <c r="L311" s="5" t="str">
        <f>CONCATENATE("10 10.1 4a")</f>
        <v>10 10.1 4a</v>
      </c>
      <c r="M311" s="5" t="str">
        <f>CONCATENATE("MZZGNN67R10D542G")</f>
        <v>MZZGNN67R10D542G</v>
      </c>
      <c r="N311" s="5" t="s">
        <v>413</v>
      </c>
      <c r="O311" s="5" t="s">
        <v>392</v>
      </c>
      <c r="P311" s="6">
        <v>43927</v>
      </c>
      <c r="Q311" s="5" t="s">
        <v>31</v>
      </c>
      <c r="R311" s="5" t="s">
        <v>32</v>
      </c>
      <c r="S311" s="5" t="s">
        <v>33</v>
      </c>
      <c r="T311" s="5"/>
      <c r="U311" s="7">
        <v>2598.8000000000002</v>
      </c>
      <c r="V311" s="7">
        <v>1120.5999999999999</v>
      </c>
      <c r="W311" s="7">
        <v>1034.8399999999999</v>
      </c>
      <c r="X311" s="5">
        <v>0</v>
      </c>
      <c r="Y311" s="5">
        <v>443.36</v>
      </c>
    </row>
    <row r="312" spans="1:25" ht="24.75" x14ac:dyDescent="0.25">
      <c r="A312" s="5" t="s">
        <v>26</v>
      </c>
      <c r="B312" s="5" t="s">
        <v>27</v>
      </c>
      <c r="C312" s="5" t="s">
        <v>47</v>
      </c>
      <c r="D312" s="5" t="s">
        <v>102</v>
      </c>
      <c r="E312" s="5" t="s">
        <v>35</v>
      </c>
      <c r="F312" s="5" t="s">
        <v>197</v>
      </c>
      <c r="G312" s="5">
        <v>2018</v>
      </c>
      <c r="H312" s="5" t="str">
        <f>CONCATENATE("84240745137")</f>
        <v>84240745137</v>
      </c>
      <c r="I312" s="5" t="s">
        <v>29</v>
      </c>
      <c r="J312" s="5" t="s">
        <v>36</v>
      </c>
      <c r="K312" s="5" t="str">
        <f>CONCATENATE("")</f>
        <v/>
      </c>
      <c r="L312" s="5" t="str">
        <f>CONCATENATE("10 10.1 4a")</f>
        <v>10 10.1 4a</v>
      </c>
      <c r="M312" s="5" t="str">
        <f>CONCATENATE("MZZGNN67R10D542G")</f>
        <v>MZZGNN67R10D542G</v>
      </c>
      <c r="N312" s="5" t="s">
        <v>413</v>
      </c>
      <c r="O312" s="5" t="s">
        <v>392</v>
      </c>
      <c r="P312" s="6">
        <v>43927</v>
      </c>
      <c r="Q312" s="5" t="s">
        <v>31</v>
      </c>
      <c r="R312" s="5" t="s">
        <v>32</v>
      </c>
      <c r="S312" s="5" t="s">
        <v>33</v>
      </c>
      <c r="T312" s="5"/>
      <c r="U312" s="7">
        <v>2598.8000000000002</v>
      </c>
      <c r="V312" s="7">
        <v>1120.5999999999999</v>
      </c>
      <c r="W312" s="7">
        <v>1034.8399999999999</v>
      </c>
      <c r="X312" s="5">
        <v>0</v>
      </c>
      <c r="Y312" s="5">
        <v>443.36</v>
      </c>
    </row>
    <row r="313" spans="1:25" ht="24.75" x14ac:dyDescent="0.25">
      <c r="A313" s="5" t="s">
        <v>26</v>
      </c>
      <c r="B313" s="5" t="s">
        <v>27</v>
      </c>
      <c r="C313" s="5" t="s">
        <v>47</v>
      </c>
      <c r="D313" s="5" t="s">
        <v>102</v>
      </c>
      <c r="E313" s="5" t="s">
        <v>35</v>
      </c>
      <c r="F313" s="5" t="s">
        <v>197</v>
      </c>
      <c r="G313" s="5">
        <v>2016</v>
      </c>
      <c r="H313" s="5" t="str">
        <f>CONCATENATE("64240746400")</f>
        <v>64240746400</v>
      </c>
      <c r="I313" s="5" t="s">
        <v>29</v>
      </c>
      <c r="J313" s="5" t="s">
        <v>36</v>
      </c>
      <c r="K313" s="5" t="str">
        <f>CONCATENATE("")</f>
        <v/>
      </c>
      <c r="L313" s="5" t="str">
        <f>CONCATENATE("10 10.1 4a")</f>
        <v>10 10.1 4a</v>
      </c>
      <c r="M313" s="5" t="str">
        <f>CONCATENATE("MZZGNN67R10D542G")</f>
        <v>MZZGNN67R10D542G</v>
      </c>
      <c r="N313" s="5" t="s">
        <v>413</v>
      </c>
      <c r="O313" s="5" t="s">
        <v>392</v>
      </c>
      <c r="P313" s="6">
        <v>43927</v>
      </c>
      <c r="Q313" s="5" t="s">
        <v>31</v>
      </c>
      <c r="R313" s="5" t="s">
        <v>32</v>
      </c>
      <c r="S313" s="5" t="s">
        <v>33</v>
      </c>
      <c r="T313" s="5"/>
      <c r="U313" s="5">
        <v>259.88</v>
      </c>
      <c r="V313" s="5">
        <v>112.06</v>
      </c>
      <c r="W313" s="5">
        <v>103.48</v>
      </c>
      <c r="X313" s="5">
        <v>0</v>
      </c>
      <c r="Y313" s="5">
        <v>44.34</v>
      </c>
    </row>
    <row r="314" spans="1:25" ht="24.75" x14ac:dyDescent="0.25">
      <c r="A314" s="5" t="s">
        <v>26</v>
      </c>
      <c r="B314" s="5" t="s">
        <v>27</v>
      </c>
      <c r="C314" s="5" t="s">
        <v>47</v>
      </c>
      <c r="D314" s="5" t="s">
        <v>102</v>
      </c>
      <c r="E314" s="5" t="s">
        <v>35</v>
      </c>
      <c r="F314" s="5" t="s">
        <v>112</v>
      </c>
      <c r="G314" s="5">
        <v>2018</v>
      </c>
      <c r="H314" s="5" t="str">
        <f>CONCATENATE("84241056153")</f>
        <v>84241056153</v>
      </c>
      <c r="I314" s="5" t="s">
        <v>29</v>
      </c>
      <c r="J314" s="5" t="s">
        <v>36</v>
      </c>
      <c r="K314" s="5" t="str">
        <f>CONCATENATE("")</f>
        <v/>
      </c>
      <c r="L314" s="5" t="str">
        <f>CONCATENATE("10 10.1 4a")</f>
        <v>10 10.1 4a</v>
      </c>
      <c r="M314" s="5" t="str">
        <f>CONCATENATE("CCCCST68R01A462S")</f>
        <v>CCCCST68R01A462S</v>
      </c>
      <c r="N314" s="5" t="s">
        <v>414</v>
      </c>
      <c r="O314" s="5" t="s">
        <v>392</v>
      </c>
      <c r="P314" s="6">
        <v>43927</v>
      </c>
      <c r="Q314" s="5" t="s">
        <v>31</v>
      </c>
      <c r="R314" s="5" t="s">
        <v>32</v>
      </c>
      <c r="S314" s="5" t="s">
        <v>33</v>
      </c>
      <c r="T314" s="5"/>
      <c r="U314" s="7">
        <v>1956.68</v>
      </c>
      <c r="V314" s="5">
        <v>843.72</v>
      </c>
      <c r="W314" s="5">
        <v>779.15</v>
      </c>
      <c r="X314" s="5">
        <v>0</v>
      </c>
      <c r="Y314" s="5">
        <v>333.81</v>
      </c>
    </row>
    <row r="315" spans="1:25" ht="24.75" x14ac:dyDescent="0.25">
      <c r="A315" s="5" t="s">
        <v>26</v>
      </c>
      <c r="B315" s="5" t="s">
        <v>27</v>
      </c>
      <c r="C315" s="5" t="s">
        <v>47</v>
      </c>
      <c r="D315" s="5" t="s">
        <v>102</v>
      </c>
      <c r="E315" s="5" t="s">
        <v>35</v>
      </c>
      <c r="F315" s="5" t="s">
        <v>112</v>
      </c>
      <c r="G315" s="5">
        <v>2017</v>
      </c>
      <c r="H315" s="5" t="str">
        <f>CONCATENATE("74240917331")</f>
        <v>74240917331</v>
      </c>
      <c r="I315" s="5" t="s">
        <v>29</v>
      </c>
      <c r="J315" s="5" t="s">
        <v>36</v>
      </c>
      <c r="K315" s="5" t="str">
        <f>CONCATENATE("")</f>
        <v/>
      </c>
      <c r="L315" s="5" t="str">
        <f>CONCATENATE("10 10.1 4a")</f>
        <v>10 10.1 4a</v>
      </c>
      <c r="M315" s="5" t="str">
        <f>CONCATENATE("CCCCST68R01A462S")</f>
        <v>CCCCST68R01A462S</v>
      </c>
      <c r="N315" s="5" t="s">
        <v>414</v>
      </c>
      <c r="O315" s="5" t="s">
        <v>392</v>
      </c>
      <c r="P315" s="6">
        <v>43927</v>
      </c>
      <c r="Q315" s="5" t="s">
        <v>31</v>
      </c>
      <c r="R315" s="5" t="s">
        <v>32</v>
      </c>
      <c r="S315" s="5" t="s">
        <v>33</v>
      </c>
      <c r="T315" s="5"/>
      <c r="U315" s="7">
        <v>1573.35</v>
      </c>
      <c r="V315" s="5">
        <v>678.43</v>
      </c>
      <c r="W315" s="5">
        <v>626.51</v>
      </c>
      <c r="X315" s="5">
        <v>0</v>
      </c>
      <c r="Y315" s="5">
        <v>268.41000000000003</v>
      </c>
    </row>
    <row r="316" spans="1:25" ht="24.75" x14ac:dyDescent="0.25">
      <c r="A316" s="5" t="s">
        <v>26</v>
      </c>
      <c r="B316" s="5" t="s">
        <v>27</v>
      </c>
      <c r="C316" s="5" t="s">
        <v>47</v>
      </c>
      <c r="D316" s="5" t="s">
        <v>102</v>
      </c>
      <c r="E316" s="5" t="s">
        <v>28</v>
      </c>
      <c r="F316" s="5" t="s">
        <v>376</v>
      </c>
      <c r="G316" s="5">
        <v>2018</v>
      </c>
      <c r="H316" s="5" t="str">
        <f>CONCATENATE("84240783914")</f>
        <v>84240783914</v>
      </c>
      <c r="I316" s="5" t="s">
        <v>29</v>
      </c>
      <c r="J316" s="5" t="s">
        <v>36</v>
      </c>
      <c r="K316" s="5" t="str">
        <f>CONCATENATE("")</f>
        <v/>
      </c>
      <c r="L316" s="5" t="str">
        <f>CONCATENATE("10 10.1 4a")</f>
        <v>10 10.1 4a</v>
      </c>
      <c r="M316" s="5" t="str">
        <f>CONCATENATE("00504050444")</f>
        <v>00504050444</v>
      </c>
      <c r="N316" s="5" t="s">
        <v>415</v>
      </c>
      <c r="O316" s="5" t="s">
        <v>392</v>
      </c>
      <c r="P316" s="6">
        <v>43927</v>
      </c>
      <c r="Q316" s="5" t="s">
        <v>31</v>
      </c>
      <c r="R316" s="5" t="s">
        <v>32</v>
      </c>
      <c r="S316" s="5" t="s">
        <v>33</v>
      </c>
      <c r="T316" s="5"/>
      <c r="U316" s="5">
        <v>747.8</v>
      </c>
      <c r="V316" s="5">
        <v>322.45</v>
      </c>
      <c r="W316" s="5">
        <v>297.77</v>
      </c>
      <c r="X316" s="5">
        <v>0</v>
      </c>
      <c r="Y316" s="5">
        <v>127.58</v>
      </c>
    </row>
    <row r="317" spans="1:25" ht="24.75" x14ac:dyDescent="0.25">
      <c r="A317" s="5" t="s">
        <v>26</v>
      </c>
      <c r="B317" s="5" t="s">
        <v>27</v>
      </c>
      <c r="C317" s="5" t="s">
        <v>47</v>
      </c>
      <c r="D317" s="5" t="s">
        <v>102</v>
      </c>
      <c r="E317" s="5" t="s">
        <v>45</v>
      </c>
      <c r="F317" s="5" t="s">
        <v>201</v>
      </c>
      <c r="G317" s="5">
        <v>2018</v>
      </c>
      <c r="H317" s="5" t="str">
        <f>CONCATENATE("84240861181")</f>
        <v>84240861181</v>
      </c>
      <c r="I317" s="5" t="s">
        <v>29</v>
      </c>
      <c r="J317" s="5" t="s">
        <v>36</v>
      </c>
      <c r="K317" s="5" t="str">
        <f>CONCATENATE("")</f>
        <v/>
      </c>
      <c r="L317" s="5" t="str">
        <f>CONCATENATE("10 10.1 4a")</f>
        <v>10 10.1 4a</v>
      </c>
      <c r="M317" s="5" t="str">
        <f>CONCATENATE("CRCSLN44R71A462G")</f>
        <v>CRCSLN44R71A462G</v>
      </c>
      <c r="N317" s="5" t="s">
        <v>416</v>
      </c>
      <c r="O317" s="5" t="s">
        <v>392</v>
      </c>
      <c r="P317" s="6">
        <v>43927</v>
      </c>
      <c r="Q317" s="5" t="s">
        <v>31</v>
      </c>
      <c r="R317" s="5" t="s">
        <v>32</v>
      </c>
      <c r="S317" s="5" t="s">
        <v>33</v>
      </c>
      <c r="T317" s="5"/>
      <c r="U317" s="5">
        <v>441.08</v>
      </c>
      <c r="V317" s="5">
        <v>190.19</v>
      </c>
      <c r="W317" s="5">
        <v>175.64</v>
      </c>
      <c r="X317" s="5">
        <v>0</v>
      </c>
      <c r="Y317" s="5">
        <v>75.25</v>
      </c>
    </row>
    <row r="318" spans="1:25" ht="24.75" x14ac:dyDescent="0.25">
      <c r="A318" s="5" t="s">
        <v>26</v>
      </c>
      <c r="B318" s="5" t="s">
        <v>27</v>
      </c>
      <c r="C318" s="5" t="s">
        <v>47</v>
      </c>
      <c r="D318" s="5" t="s">
        <v>102</v>
      </c>
      <c r="E318" s="5" t="s">
        <v>38</v>
      </c>
      <c r="F318" s="5" t="s">
        <v>156</v>
      </c>
      <c r="G318" s="5">
        <v>2018</v>
      </c>
      <c r="H318" s="5" t="str">
        <f>CONCATENATE("84240790224")</f>
        <v>84240790224</v>
      </c>
      <c r="I318" s="5" t="s">
        <v>29</v>
      </c>
      <c r="J318" s="5" t="s">
        <v>36</v>
      </c>
      <c r="K318" s="5" t="str">
        <f>CONCATENATE("")</f>
        <v/>
      </c>
      <c r="L318" s="5" t="str">
        <f>CONCATENATE("10 10.1 4a")</f>
        <v>10 10.1 4a</v>
      </c>
      <c r="M318" s="5" t="str">
        <f>CONCATENATE("FCRLGE56C12A462Z")</f>
        <v>FCRLGE56C12A462Z</v>
      </c>
      <c r="N318" s="5" t="s">
        <v>417</v>
      </c>
      <c r="O318" s="5" t="s">
        <v>392</v>
      </c>
      <c r="P318" s="6">
        <v>43927</v>
      </c>
      <c r="Q318" s="5" t="s">
        <v>31</v>
      </c>
      <c r="R318" s="5" t="s">
        <v>32</v>
      </c>
      <c r="S318" s="5" t="s">
        <v>33</v>
      </c>
      <c r="T318" s="5"/>
      <c r="U318" s="7">
        <v>1384.32</v>
      </c>
      <c r="V318" s="5">
        <v>596.91999999999996</v>
      </c>
      <c r="W318" s="5">
        <v>551.24</v>
      </c>
      <c r="X318" s="5">
        <v>0</v>
      </c>
      <c r="Y318" s="5">
        <v>236.16</v>
      </c>
    </row>
    <row r="319" spans="1:25" ht="24.75" x14ac:dyDescent="0.25">
      <c r="A319" s="5" t="s">
        <v>26</v>
      </c>
      <c r="B319" s="5" t="s">
        <v>27</v>
      </c>
      <c r="C319" s="5" t="s">
        <v>47</v>
      </c>
      <c r="D319" s="5" t="s">
        <v>102</v>
      </c>
      <c r="E319" s="5" t="s">
        <v>28</v>
      </c>
      <c r="F319" s="5" t="s">
        <v>418</v>
      </c>
      <c r="G319" s="5">
        <v>2018</v>
      </c>
      <c r="H319" s="5" t="str">
        <f>CONCATENATE("84240791099")</f>
        <v>84240791099</v>
      </c>
      <c r="I319" s="5" t="s">
        <v>29</v>
      </c>
      <c r="J319" s="5" t="s">
        <v>36</v>
      </c>
      <c r="K319" s="5" t="str">
        <f>CONCATENATE("")</f>
        <v/>
      </c>
      <c r="L319" s="5" t="str">
        <f>CONCATENATE("10 10.1 4a")</f>
        <v>10 10.1 4a</v>
      </c>
      <c r="M319" s="5" t="str">
        <f>CONCATENATE("MRTMRN86L07A252N")</f>
        <v>MRTMRN86L07A252N</v>
      </c>
      <c r="N319" s="5" t="s">
        <v>419</v>
      </c>
      <c r="O319" s="5" t="s">
        <v>392</v>
      </c>
      <c r="P319" s="6">
        <v>43927</v>
      </c>
      <c r="Q319" s="5" t="s">
        <v>31</v>
      </c>
      <c r="R319" s="5" t="s">
        <v>32</v>
      </c>
      <c r="S319" s="5" t="s">
        <v>33</v>
      </c>
      <c r="T319" s="5"/>
      <c r="U319" s="5">
        <v>600.70000000000005</v>
      </c>
      <c r="V319" s="5">
        <v>259.02</v>
      </c>
      <c r="W319" s="5">
        <v>239.2</v>
      </c>
      <c r="X319" s="5">
        <v>0</v>
      </c>
      <c r="Y319" s="5">
        <v>102.48</v>
      </c>
    </row>
    <row r="320" spans="1:25" ht="24.75" x14ac:dyDescent="0.25">
      <c r="A320" s="5" t="s">
        <v>26</v>
      </c>
      <c r="B320" s="5" t="s">
        <v>27</v>
      </c>
      <c r="C320" s="5" t="s">
        <v>47</v>
      </c>
      <c r="D320" s="5" t="s">
        <v>102</v>
      </c>
      <c r="E320" s="5" t="s">
        <v>35</v>
      </c>
      <c r="F320" s="5" t="s">
        <v>197</v>
      </c>
      <c r="G320" s="5">
        <v>2018</v>
      </c>
      <c r="H320" s="5" t="str">
        <f>CONCATENATE("84241001373")</f>
        <v>84241001373</v>
      </c>
      <c r="I320" s="5" t="s">
        <v>29</v>
      </c>
      <c r="J320" s="5" t="s">
        <v>36</v>
      </c>
      <c r="K320" s="5" t="str">
        <f>CONCATENATE("")</f>
        <v/>
      </c>
      <c r="L320" s="5" t="str">
        <f>CONCATENATE("10 10.1 4a")</f>
        <v>10 10.1 4a</v>
      </c>
      <c r="M320" s="5" t="str">
        <f>CONCATENATE("VTISMN91C08C770O")</f>
        <v>VTISMN91C08C770O</v>
      </c>
      <c r="N320" s="5" t="s">
        <v>420</v>
      </c>
      <c r="O320" s="5" t="s">
        <v>392</v>
      </c>
      <c r="P320" s="6">
        <v>43927</v>
      </c>
      <c r="Q320" s="5" t="s">
        <v>31</v>
      </c>
      <c r="R320" s="5" t="s">
        <v>32</v>
      </c>
      <c r="S320" s="5" t="s">
        <v>33</v>
      </c>
      <c r="T320" s="5"/>
      <c r="U320" s="7">
        <v>1257.72</v>
      </c>
      <c r="V320" s="5">
        <v>542.33000000000004</v>
      </c>
      <c r="W320" s="5">
        <v>500.82</v>
      </c>
      <c r="X320" s="5">
        <v>0</v>
      </c>
      <c r="Y320" s="5">
        <v>214.57</v>
      </c>
    </row>
    <row r="321" spans="1:25" ht="24.75" x14ac:dyDescent="0.25">
      <c r="A321" s="5" t="s">
        <v>26</v>
      </c>
      <c r="B321" s="5" t="s">
        <v>27</v>
      </c>
      <c r="C321" s="5" t="s">
        <v>47</v>
      </c>
      <c r="D321" s="5" t="s">
        <v>52</v>
      </c>
      <c r="E321" s="5" t="s">
        <v>40</v>
      </c>
      <c r="F321" s="5" t="s">
        <v>62</v>
      </c>
      <c r="G321" s="5">
        <v>2019</v>
      </c>
      <c r="H321" s="5" t="str">
        <f>CONCATENATE("94240399389")</f>
        <v>94240399389</v>
      </c>
      <c r="I321" s="5" t="s">
        <v>29</v>
      </c>
      <c r="J321" s="5" t="s">
        <v>36</v>
      </c>
      <c r="K321" s="5" t="str">
        <f>CONCATENATE("")</f>
        <v/>
      </c>
      <c r="L321" s="5" t="str">
        <f>CONCATENATE("11 11.2 4b")</f>
        <v>11 11.2 4b</v>
      </c>
      <c r="M321" s="5" t="str">
        <f>CONCATENATE("02253870410")</f>
        <v>02253870410</v>
      </c>
      <c r="N321" s="5" t="s">
        <v>421</v>
      </c>
      <c r="O321" s="5" t="s">
        <v>55</v>
      </c>
      <c r="P321" s="6">
        <v>43927</v>
      </c>
      <c r="Q321" s="5" t="s">
        <v>31</v>
      </c>
      <c r="R321" s="5" t="s">
        <v>32</v>
      </c>
      <c r="S321" s="5" t="s">
        <v>33</v>
      </c>
      <c r="T321" s="5"/>
      <c r="U321" s="7">
        <v>2500.04</v>
      </c>
      <c r="V321" s="7">
        <v>1078.02</v>
      </c>
      <c r="W321" s="5">
        <v>995.52</v>
      </c>
      <c r="X321" s="5">
        <v>0</v>
      </c>
      <c r="Y321" s="5">
        <v>426.5</v>
      </c>
    </row>
    <row r="322" spans="1:25" ht="24.75" x14ac:dyDescent="0.25">
      <c r="A322" s="5" t="s">
        <v>26</v>
      </c>
      <c r="B322" s="5" t="s">
        <v>27</v>
      </c>
      <c r="C322" s="5" t="s">
        <v>47</v>
      </c>
      <c r="D322" s="5" t="s">
        <v>52</v>
      </c>
      <c r="E322" s="5" t="s">
        <v>37</v>
      </c>
      <c r="F322" s="5" t="s">
        <v>152</v>
      </c>
      <c r="G322" s="5">
        <v>2019</v>
      </c>
      <c r="H322" s="5" t="str">
        <f>CONCATENATE("94240996218")</f>
        <v>94240996218</v>
      </c>
      <c r="I322" s="5" t="s">
        <v>29</v>
      </c>
      <c r="J322" s="5" t="s">
        <v>36</v>
      </c>
      <c r="K322" s="5" t="str">
        <f>CONCATENATE("")</f>
        <v/>
      </c>
      <c r="L322" s="5" t="str">
        <f>CONCATENATE("11 11.2 4b")</f>
        <v>11 11.2 4b</v>
      </c>
      <c r="M322" s="5" t="str">
        <f>CONCATENATE("GSPLRS78C27L500R")</f>
        <v>GSPLRS78C27L500R</v>
      </c>
      <c r="N322" s="5" t="s">
        <v>422</v>
      </c>
      <c r="O322" s="5" t="s">
        <v>55</v>
      </c>
      <c r="P322" s="6">
        <v>43927</v>
      </c>
      <c r="Q322" s="5" t="s">
        <v>31</v>
      </c>
      <c r="R322" s="5" t="s">
        <v>32</v>
      </c>
      <c r="S322" s="5" t="s">
        <v>33</v>
      </c>
      <c r="T322" s="5"/>
      <c r="U322" s="7">
        <v>6646.87</v>
      </c>
      <c r="V322" s="7">
        <v>2866.13</v>
      </c>
      <c r="W322" s="7">
        <v>2646.78</v>
      </c>
      <c r="X322" s="5">
        <v>0</v>
      </c>
      <c r="Y322" s="7">
        <v>1133.96</v>
      </c>
    </row>
    <row r="323" spans="1:25" ht="24.75" x14ac:dyDescent="0.25">
      <c r="A323" s="5" t="s">
        <v>26</v>
      </c>
      <c r="B323" s="5" t="s">
        <v>27</v>
      </c>
      <c r="C323" s="5" t="s">
        <v>47</v>
      </c>
      <c r="D323" s="5" t="s">
        <v>52</v>
      </c>
      <c r="E323" s="5" t="s">
        <v>40</v>
      </c>
      <c r="F323" s="5" t="s">
        <v>62</v>
      </c>
      <c r="G323" s="5">
        <v>2019</v>
      </c>
      <c r="H323" s="5" t="str">
        <f>CONCATENATE("94240664394")</f>
        <v>94240664394</v>
      </c>
      <c r="I323" s="5" t="s">
        <v>29</v>
      </c>
      <c r="J323" s="5" t="s">
        <v>36</v>
      </c>
      <c r="K323" s="5" t="str">
        <f>CONCATENATE("")</f>
        <v/>
      </c>
      <c r="L323" s="5" t="str">
        <f>CONCATENATE("11 11.1 4b")</f>
        <v>11 11.1 4b</v>
      </c>
      <c r="M323" s="5" t="str">
        <f>CONCATENATE("02600130419")</f>
        <v>02600130419</v>
      </c>
      <c r="N323" s="5" t="s">
        <v>423</v>
      </c>
      <c r="O323" s="5" t="s">
        <v>55</v>
      </c>
      <c r="P323" s="6">
        <v>43927</v>
      </c>
      <c r="Q323" s="5" t="s">
        <v>31</v>
      </c>
      <c r="R323" s="5" t="s">
        <v>32</v>
      </c>
      <c r="S323" s="5" t="s">
        <v>33</v>
      </c>
      <c r="T323" s="5"/>
      <c r="U323" s="5">
        <v>943.07</v>
      </c>
      <c r="V323" s="5">
        <v>406.65</v>
      </c>
      <c r="W323" s="5">
        <v>375.53</v>
      </c>
      <c r="X323" s="5">
        <v>0</v>
      </c>
      <c r="Y323" s="5">
        <v>160.88999999999999</v>
      </c>
    </row>
    <row r="324" spans="1:25" ht="24.75" x14ac:dyDescent="0.25">
      <c r="A324" s="5" t="s">
        <v>26</v>
      </c>
      <c r="B324" s="5" t="s">
        <v>27</v>
      </c>
      <c r="C324" s="5" t="s">
        <v>47</v>
      </c>
      <c r="D324" s="5" t="s">
        <v>52</v>
      </c>
      <c r="E324" s="5" t="s">
        <v>28</v>
      </c>
      <c r="F324" s="5" t="s">
        <v>60</v>
      </c>
      <c r="G324" s="5">
        <v>2019</v>
      </c>
      <c r="H324" s="5" t="str">
        <f>CONCATENATE("94240299860")</f>
        <v>94240299860</v>
      </c>
      <c r="I324" s="5" t="s">
        <v>29</v>
      </c>
      <c r="J324" s="5" t="s">
        <v>36</v>
      </c>
      <c r="K324" s="5" t="str">
        <f>CONCATENATE("")</f>
        <v/>
      </c>
      <c r="L324" s="5" t="str">
        <f>CONCATENATE("11 11.2 4b")</f>
        <v>11 11.2 4b</v>
      </c>
      <c r="M324" s="5" t="str">
        <f>CONCATENATE("02496910411")</f>
        <v>02496910411</v>
      </c>
      <c r="N324" s="5" t="s">
        <v>424</v>
      </c>
      <c r="O324" s="5" t="s">
        <v>55</v>
      </c>
      <c r="P324" s="6">
        <v>43927</v>
      </c>
      <c r="Q324" s="5" t="s">
        <v>31</v>
      </c>
      <c r="R324" s="5" t="s">
        <v>32</v>
      </c>
      <c r="S324" s="5" t="s">
        <v>33</v>
      </c>
      <c r="T324" s="5"/>
      <c r="U324" s="7">
        <v>1078.97</v>
      </c>
      <c r="V324" s="5">
        <v>465.25</v>
      </c>
      <c r="W324" s="5">
        <v>429.65</v>
      </c>
      <c r="X324" s="5">
        <v>0</v>
      </c>
      <c r="Y324" s="5">
        <v>184.07</v>
      </c>
    </row>
    <row r="325" spans="1:25" ht="24.75" x14ac:dyDescent="0.25">
      <c r="A325" s="5" t="s">
        <v>26</v>
      </c>
      <c r="B325" s="5" t="s">
        <v>27</v>
      </c>
      <c r="C325" s="5" t="s">
        <v>47</v>
      </c>
      <c r="D325" s="5" t="s">
        <v>52</v>
      </c>
      <c r="E325" s="5" t="s">
        <v>40</v>
      </c>
      <c r="F325" s="5" t="s">
        <v>62</v>
      </c>
      <c r="G325" s="5">
        <v>2019</v>
      </c>
      <c r="H325" s="5" t="str">
        <f>CONCATENATE("94240419948")</f>
        <v>94240419948</v>
      </c>
      <c r="I325" s="5" t="s">
        <v>29</v>
      </c>
      <c r="J325" s="5" t="s">
        <v>36</v>
      </c>
      <c r="K325" s="5" t="str">
        <f>CONCATENATE("")</f>
        <v/>
      </c>
      <c r="L325" s="5" t="str">
        <f>CONCATENATE("11 11.1 4b")</f>
        <v>11 11.1 4b</v>
      </c>
      <c r="M325" s="5" t="str">
        <f>CONCATENATE("02596540415")</f>
        <v>02596540415</v>
      </c>
      <c r="N325" s="5" t="s">
        <v>425</v>
      </c>
      <c r="O325" s="5" t="s">
        <v>55</v>
      </c>
      <c r="P325" s="6">
        <v>43927</v>
      </c>
      <c r="Q325" s="5" t="s">
        <v>31</v>
      </c>
      <c r="R325" s="5" t="s">
        <v>32</v>
      </c>
      <c r="S325" s="5" t="s">
        <v>33</v>
      </c>
      <c r="T325" s="5"/>
      <c r="U325" s="5">
        <v>356.84</v>
      </c>
      <c r="V325" s="5">
        <v>153.87</v>
      </c>
      <c r="W325" s="5">
        <v>142.09</v>
      </c>
      <c r="X325" s="5">
        <v>0</v>
      </c>
      <c r="Y325" s="5">
        <v>60.88</v>
      </c>
    </row>
    <row r="326" spans="1:25" ht="24.75" x14ac:dyDescent="0.25">
      <c r="A326" s="5" t="s">
        <v>26</v>
      </c>
      <c r="B326" s="5" t="s">
        <v>27</v>
      </c>
      <c r="C326" s="5" t="s">
        <v>47</v>
      </c>
      <c r="D326" s="5" t="s">
        <v>52</v>
      </c>
      <c r="E326" s="5" t="s">
        <v>35</v>
      </c>
      <c r="F326" s="5" t="s">
        <v>53</v>
      </c>
      <c r="G326" s="5">
        <v>2019</v>
      </c>
      <c r="H326" s="5" t="str">
        <f>CONCATENATE("94240530280")</f>
        <v>94240530280</v>
      </c>
      <c r="I326" s="5" t="s">
        <v>29</v>
      </c>
      <c r="J326" s="5" t="s">
        <v>36</v>
      </c>
      <c r="K326" s="5" t="str">
        <f>CONCATENATE("")</f>
        <v/>
      </c>
      <c r="L326" s="5" t="str">
        <f>CONCATENATE("11 11.2 4b")</f>
        <v>11 11.2 4b</v>
      </c>
      <c r="M326" s="5" t="str">
        <f>CONCATENATE("CCCFNC65A18I287O")</f>
        <v>CCCFNC65A18I287O</v>
      </c>
      <c r="N326" s="5" t="s">
        <v>426</v>
      </c>
      <c r="O326" s="5" t="s">
        <v>55</v>
      </c>
      <c r="P326" s="6">
        <v>43927</v>
      </c>
      <c r="Q326" s="5" t="s">
        <v>31</v>
      </c>
      <c r="R326" s="5" t="s">
        <v>32</v>
      </c>
      <c r="S326" s="5" t="s">
        <v>33</v>
      </c>
      <c r="T326" s="5"/>
      <c r="U326" s="5">
        <v>848.7</v>
      </c>
      <c r="V326" s="5">
        <v>365.96</v>
      </c>
      <c r="W326" s="5">
        <v>337.95</v>
      </c>
      <c r="X326" s="5">
        <v>0</v>
      </c>
      <c r="Y326" s="5">
        <v>144.79</v>
      </c>
    </row>
    <row r="327" spans="1:25" ht="24.75" x14ac:dyDescent="0.25">
      <c r="A327" s="5" t="s">
        <v>26</v>
      </c>
      <c r="B327" s="5" t="s">
        <v>27</v>
      </c>
      <c r="C327" s="5" t="s">
        <v>47</v>
      </c>
      <c r="D327" s="5" t="s">
        <v>52</v>
      </c>
      <c r="E327" s="5" t="s">
        <v>35</v>
      </c>
      <c r="F327" s="5" t="s">
        <v>56</v>
      </c>
      <c r="G327" s="5">
        <v>2019</v>
      </c>
      <c r="H327" s="5" t="str">
        <f>CONCATENATE("94240542418")</f>
        <v>94240542418</v>
      </c>
      <c r="I327" s="5" t="s">
        <v>29</v>
      </c>
      <c r="J327" s="5" t="s">
        <v>36</v>
      </c>
      <c r="K327" s="5" t="str">
        <f>CONCATENATE("")</f>
        <v/>
      </c>
      <c r="L327" s="5" t="str">
        <f>CONCATENATE("11 11.1 4b")</f>
        <v>11 11.1 4b</v>
      </c>
      <c r="M327" s="5" t="str">
        <f>CONCATENATE("MNCGRL83H30D749T")</f>
        <v>MNCGRL83H30D749T</v>
      </c>
      <c r="N327" s="5" t="s">
        <v>427</v>
      </c>
      <c r="O327" s="5" t="s">
        <v>55</v>
      </c>
      <c r="P327" s="6">
        <v>43927</v>
      </c>
      <c r="Q327" s="5" t="s">
        <v>31</v>
      </c>
      <c r="R327" s="5" t="s">
        <v>32</v>
      </c>
      <c r="S327" s="5" t="s">
        <v>33</v>
      </c>
      <c r="T327" s="5"/>
      <c r="U327" s="7">
        <v>6913.12</v>
      </c>
      <c r="V327" s="7">
        <v>2980.94</v>
      </c>
      <c r="W327" s="7">
        <v>2752.8</v>
      </c>
      <c r="X327" s="5">
        <v>0</v>
      </c>
      <c r="Y327" s="7">
        <v>1179.3800000000001</v>
      </c>
    </row>
    <row r="328" spans="1:25" ht="24.75" x14ac:dyDescent="0.25">
      <c r="A328" s="5" t="s">
        <v>26</v>
      </c>
      <c r="B328" s="5" t="s">
        <v>27</v>
      </c>
      <c r="C328" s="5" t="s">
        <v>47</v>
      </c>
      <c r="D328" s="5" t="s">
        <v>52</v>
      </c>
      <c r="E328" s="5" t="s">
        <v>35</v>
      </c>
      <c r="F328" s="5" t="s">
        <v>70</v>
      </c>
      <c r="G328" s="5">
        <v>2019</v>
      </c>
      <c r="H328" s="5" t="str">
        <f>CONCATENATE("94241061822")</f>
        <v>94241061822</v>
      </c>
      <c r="I328" s="5" t="s">
        <v>29</v>
      </c>
      <c r="J328" s="5" t="s">
        <v>36</v>
      </c>
      <c r="K328" s="5" t="str">
        <f>CONCATENATE("")</f>
        <v/>
      </c>
      <c r="L328" s="5" t="str">
        <f>CONCATENATE("11 11.2 4b")</f>
        <v>11 11.2 4b</v>
      </c>
      <c r="M328" s="5" t="str">
        <f>CONCATENATE("BRTMRC85D11L500G")</f>
        <v>BRTMRC85D11L500G</v>
      </c>
      <c r="N328" s="5" t="s">
        <v>428</v>
      </c>
      <c r="O328" s="5" t="s">
        <v>55</v>
      </c>
      <c r="P328" s="6">
        <v>43927</v>
      </c>
      <c r="Q328" s="5" t="s">
        <v>31</v>
      </c>
      <c r="R328" s="5" t="s">
        <v>32</v>
      </c>
      <c r="S328" s="5" t="s">
        <v>33</v>
      </c>
      <c r="T328" s="5"/>
      <c r="U328" s="5">
        <v>569.25</v>
      </c>
      <c r="V328" s="5">
        <v>245.46</v>
      </c>
      <c r="W328" s="5">
        <v>226.68</v>
      </c>
      <c r="X328" s="5">
        <v>0</v>
      </c>
      <c r="Y328" s="5">
        <v>97.11</v>
      </c>
    </row>
    <row r="329" spans="1:25" ht="24.75" x14ac:dyDescent="0.25">
      <c r="A329" s="5" t="s">
        <v>26</v>
      </c>
      <c r="B329" s="5" t="s">
        <v>27</v>
      </c>
      <c r="C329" s="5" t="s">
        <v>47</v>
      </c>
      <c r="D329" s="5" t="s">
        <v>52</v>
      </c>
      <c r="E329" s="5" t="s">
        <v>40</v>
      </c>
      <c r="F329" s="5" t="s">
        <v>64</v>
      </c>
      <c r="G329" s="5">
        <v>2019</v>
      </c>
      <c r="H329" s="5" t="str">
        <f>CONCATENATE("94240390057")</f>
        <v>94240390057</v>
      </c>
      <c r="I329" s="5" t="s">
        <v>29</v>
      </c>
      <c r="J329" s="5" t="s">
        <v>36</v>
      </c>
      <c r="K329" s="5" t="str">
        <f>CONCATENATE("")</f>
        <v/>
      </c>
      <c r="L329" s="5" t="str">
        <f>CONCATENATE("11 11.2 4b")</f>
        <v>11 11.2 4b</v>
      </c>
      <c r="M329" s="5" t="str">
        <f>CONCATENATE("PRTFNC70M26L500I")</f>
        <v>PRTFNC70M26L500I</v>
      </c>
      <c r="N329" s="5" t="s">
        <v>429</v>
      </c>
      <c r="O329" s="5" t="s">
        <v>55</v>
      </c>
      <c r="P329" s="6">
        <v>43927</v>
      </c>
      <c r="Q329" s="5" t="s">
        <v>31</v>
      </c>
      <c r="R329" s="5" t="s">
        <v>32</v>
      </c>
      <c r="S329" s="5" t="s">
        <v>33</v>
      </c>
      <c r="T329" s="5"/>
      <c r="U329" s="7">
        <v>1374.73</v>
      </c>
      <c r="V329" s="5">
        <v>592.78</v>
      </c>
      <c r="W329" s="5">
        <v>547.41999999999996</v>
      </c>
      <c r="X329" s="5">
        <v>0</v>
      </c>
      <c r="Y329" s="5">
        <v>234.53</v>
      </c>
    </row>
    <row r="330" spans="1:25" ht="24.75" x14ac:dyDescent="0.25">
      <c r="A330" s="5" t="s">
        <v>26</v>
      </c>
      <c r="B330" s="5" t="s">
        <v>27</v>
      </c>
      <c r="C330" s="5" t="s">
        <v>47</v>
      </c>
      <c r="D330" s="5" t="s">
        <v>48</v>
      </c>
      <c r="E330" s="5" t="s">
        <v>28</v>
      </c>
      <c r="F330" s="5" t="s">
        <v>75</v>
      </c>
      <c r="G330" s="5">
        <v>2019</v>
      </c>
      <c r="H330" s="5" t="str">
        <f>CONCATENATE("94241128456")</f>
        <v>94241128456</v>
      </c>
      <c r="I330" s="5" t="s">
        <v>29</v>
      </c>
      <c r="J330" s="5" t="s">
        <v>36</v>
      </c>
      <c r="K330" s="5" t="str">
        <f>CONCATENATE("")</f>
        <v/>
      </c>
      <c r="L330" s="5" t="str">
        <f>CONCATENATE("11 11.1 4b")</f>
        <v>11 11.1 4b</v>
      </c>
      <c r="M330" s="5" t="str">
        <f>CONCATENATE("02790810424")</f>
        <v>02790810424</v>
      </c>
      <c r="N330" s="5" t="s">
        <v>430</v>
      </c>
      <c r="O330" s="5" t="s">
        <v>55</v>
      </c>
      <c r="P330" s="6">
        <v>43927</v>
      </c>
      <c r="Q330" s="5" t="s">
        <v>31</v>
      </c>
      <c r="R330" s="5" t="s">
        <v>32</v>
      </c>
      <c r="S330" s="5" t="s">
        <v>33</v>
      </c>
      <c r="T330" s="5"/>
      <c r="U330" s="5">
        <v>663.91</v>
      </c>
      <c r="V330" s="5">
        <v>286.27999999999997</v>
      </c>
      <c r="W330" s="5">
        <v>264.37</v>
      </c>
      <c r="X330" s="5">
        <v>0</v>
      </c>
      <c r="Y330" s="5">
        <v>113.26</v>
      </c>
    </row>
    <row r="331" spans="1:25" ht="24.75" x14ac:dyDescent="0.25">
      <c r="A331" s="5" t="s">
        <v>26</v>
      </c>
      <c r="B331" s="5" t="s">
        <v>27</v>
      </c>
      <c r="C331" s="5" t="s">
        <v>47</v>
      </c>
      <c r="D331" s="5" t="s">
        <v>52</v>
      </c>
      <c r="E331" s="5" t="s">
        <v>35</v>
      </c>
      <c r="F331" s="5" t="s">
        <v>56</v>
      </c>
      <c r="G331" s="5">
        <v>2019</v>
      </c>
      <c r="H331" s="5" t="str">
        <f>CONCATENATE("94240313737")</f>
        <v>94240313737</v>
      </c>
      <c r="I331" s="5" t="s">
        <v>29</v>
      </c>
      <c r="J331" s="5" t="s">
        <v>36</v>
      </c>
      <c r="K331" s="5" t="str">
        <f>CONCATENATE("")</f>
        <v/>
      </c>
      <c r="L331" s="5" t="str">
        <f>CONCATENATE("11 11.2 4b")</f>
        <v>11 11.2 4b</v>
      </c>
      <c r="M331" s="5" t="str">
        <f>CONCATENATE("02666630419")</f>
        <v>02666630419</v>
      </c>
      <c r="N331" s="5" t="s">
        <v>431</v>
      </c>
      <c r="O331" s="5" t="s">
        <v>55</v>
      </c>
      <c r="P331" s="6">
        <v>43927</v>
      </c>
      <c r="Q331" s="5" t="s">
        <v>31</v>
      </c>
      <c r="R331" s="5" t="s">
        <v>32</v>
      </c>
      <c r="S331" s="5" t="s">
        <v>33</v>
      </c>
      <c r="T331" s="5"/>
      <c r="U331" s="7">
        <v>5229.96</v>
      </c>
      <c r="V331" s="7">
        <v>2255.16</v>
      </c>
      <c r="W331" s="7">
        <v>2082.5700000000002</v>
      </c>
      <c r="X331" s="5">
        <v>0</v>
      </c>
      <c r="Y331" s="5">
        <v>892.23</v>
      </c>
    </row>
    <row r="332" spans="1:25" ht="24.75" x14ac:dyDescent="0.25">
      <c r="A332" s="5" t="s">
        <v>26</v>
      </c>
      <c r="B332" s="5" t="s">
        <v>27</v>
      </c>
      <c r="C332" s="5" t="s">
        <v>47</v>
      </c>
      <c r="D332" s="5" t="s">
        <v>52</v>
      </c>
      <c r="E332" s="5" t="s">
        <v>35</v>
      </c>
      <c r="F332" s="5" t="s">
        <v>53</v>
      </c>
      <c r="G332" s="5">
        <v>2019</v>
      </c>
      <c r="H332" s="5" t="str">
        <f>CONCATENATE("94241054413")</f>
        <v>94241054413</v>
      </c>
      <c r="I332" s="5" t="s">
        <v>29</v>
      </c>
      <c r="J332" s="5" t="s">
        <v>36</v>
      </c>
      <c r="K332" s="5" t="str">
        <f>CONCATENATE("")</f>
        <v/>
      </c>
      <c r="L332" s="5" t="str">
        <f>CONCATENATE("11 11.2 4b")</f>
        <v>11 11.2 4b</v>
      </c>
      <c r="M332" s="5" t="str">
        <f>CONCATENATE("CRDGRG59A01F135P")</f>
        <v>CRDGRG59A01F135P</v>
      </c>
      <c r="N332" s="5" t="s">
        <v>432</v>
      </c>
      <c r="O332" s="5" t="s">
        <v>55</v>
      </c>
      <c r="P332" s="6">
        <v>43927</v>
      </c>
      <c r="Q332" s="5" t="s">
        <v>31</v>
      </c>
      <c r="R332" s="5" t="s">
        <v>32</v>
      </c>
      <c r="S332" s="5" t="s">
        <v>33</v>
      </c>
      <c r="T332" s="5"/>
      <c r="U332" s="7">
        <v>1501.38</v>
      </c>
      <c r="V332" s="5">
        <v>647.4</v>
      </c>
      <c r="W332" s="5">
        <v>597.85</v>
      </c>
      <c r="X332" s="5">
        <v>0</v>
      </c>
      <c r="Y332" s="5">
        <v>256.13</v>
      </c>
    </row>
    <row r="333" spans="1:25" ht="24.75" x14ac:dyDescent="0.25">
      <c r="A333" s="5" t="s">
        <v>26</v>
      </c>
      <c r="B333" s="5" t="s">
        <v>27</v>
      </c>
      <c r="C333" s="5" t="s">
        <v>47</v>
      </c>
      <c r="D333" s="5" t="s">
        <v>102</v>
      </c>
      <c r="E333" s="5" t="s">
        <v>35</v>
      </c>
      <c r="F333" s="5" t="s">
        <v>195</v>
      </c>
      <c r="G333" s="5">
        <v>2018</v>
      </c>
      <c r="H333" s="5" t="str">
        <f>CONCATENATE("84240954564")</f>
        <v>84240954564</v>
      </c>
      <c r="I333" s="5" t="s">
        <v>29</v>
      </c>
      <c r="J333" s="5" t="s">
        <v>36</v>
      </c>
      <c r="K333" s="5" t="str">
        <f>CONCATENATE("")</f>
        <v/>
      </c>
      <c r="L333" s="5" t="str">
        <f>CONCATENATE("11 11.2 4b")</f>
        <v>11 11.2 4b</v>
      </c>
      <c r="M333" s="5" t="str">
        <f>CONCATENATE("SPCGDU63M15F415N")</f>
        <v>SPCGDU63M15F415N</v>
      </c>
      <c r="N333" s="5" t="s">
        <v>433</v>
      </c>
      <c r="O333" s="5" t="s">
        <v>55</v>
      </c>
      <c r="P333" s="6">
        <v>43927</v>
      </c>
      <c r="Q333" s="5" t="s">
        <v>31</v>
      </c>
      <c r="R333" s="5" t="s">
        <v>32</v>
      </c>
      <c r="S333" s="5" t="s">
        <v>33</v>
      </c>
      <c r="T333" s="5"/>
      <c r="U333" s="7">
        <v>6394.44</v>
      </c>
      <c r="V333" s="7">
        <v>2757.28</v>
      </c>
      <c r="W333" s="7">
        <v>2546.27</v>
      </c>
      <c r="X333" s="5">
        <v>0</v>
      </c>
      <c r="Y333" s="7">
        <v>1090.8900000000001</v>
      </c>
    </row>
    <row r="334" spans="1:25" ht="24.75" x14ac:dyDescent="0.25">
      <c r="A334" s="5" t="s">
        <v>26</v>
      </c>
      <c r="B334" s="5" t="s">
        <v>27</v>
      </c>
      <c r="C334" s="5" t="s">
        <v>47</v>
      </c>
      <c r="D334" s="5" t="s">
        <v>52</v>
      </c>
      <c r="E334" s="5" t="s">
        <v>38</v>
      </c>
      <c r="F334" s="5" t="s">
        <v>81</v>
      </c>
      <c r="G334" s="5">
        <v>2019</v>
      </c>
      <c r="H334" s="5" t="str">
        <f>CONCATENATE("94241001133")</f>
        <v>94241001133</v>
      </c>
      <c r="I334" s="5" t="s">
        <v>29</v>
      </c>
      <c r="J334" s="5" t="s">
        <v>36</v>
      </c>
      <c r="K334" s="5" t="str">
        <f>CONCATENATE("")</f>
        <v/>
      </c>
      <c r="L334" s="5" t="str">
        <f>CONCATENATE("11 11.2 4b")</f>
        <v>11 11.2 4b</v>
      </c>
      <c r="M334" s="5" t="str">
        <f>CONCATENATE("BRBDVD64S19H501C")</f>
        <v>BRBDVD64S19H501C</v>
      </c>
      <c r="N334" s="5" t="s">
        <v>434</v>
      </c>
      <c r="O334" s="5" t="s">
        <v>55</v>
      </c>
      <c r="P334" s="6">
        <v>43927</v>
      </c>
      <c r="Q334" s="5" t="s">
        <v>31</v>
      </c>
      <c r="R334" s="5" t="s">
        <v>32</v>
      </c>
      <c r="S334" s="5" t="s">
        <v>33</v>
      </c>
      <c r="T334" s="5"/>
      <c r="U334" s="5">
        <v>198.94</v>
      </c>
      <c r="V334" s="5">
        <v>85.78</v>
      </c>
      <c r="W334" s="5">
        <v>79.22</v>
      </c>
      <c r="X334" s="5">
        <v>0</v>
      </c>
      <c r="Y334" s="5">
        <v>33.94</v>
      </c>
    </row>
    <row r="335" spans="1:25" ht="24.75" x14ac:dyDescent="0.25">
      <c r="A335" s="5" t="s">
        <v>26</v>
      </c>
      <c r="B335" s="5" t="s">
        <v>27</v>
      </c>
      <c r="C335" s="5" t="s">
        <v>47</v>
      </c>
      <c r="D335" s="5" t="s">
        <v>52</v>
      </c>
      <c r="E335" s="5" t="s">
        <v>35</v>
      </c>
      <c r="F335" s="5" t="s">
        <v>145</v>
      </c>
      <c r="G335" s="5">
        <v>2018</v>
      </c>
      <c r="H335" s="5" t="str">
        <f>CONCATENATE("84240862486")</f>
        <v>84240862486</v>
      </c>
      <c r="I335" s="5" t="s">
        <v>29</v>
      </c>
      <c r="J335" s="5" t="s">
        <v>36</v>
      </c>
      <c r="K335" s="5" t="str">
        <f>CONCATENATE("")</f>
        <v/>
      </c>
      <c r="L335" s="5" t="str">
        <f>CONCATENATE("11 11.2 4b")</f>
        <v>11 11.2 4b</v>
      </c>
      <c r="M335" s="5" t="str">
        <f>CONCATENATE("02660670411")</f>
        <v>02660670411</v>
      </c>
      <c r="N335" s="5" t="s">
        <v>435</v>
      </c>
      <c r="O335" s="5" t="s">
        <v>55</v>
      </c>
      <c r="P335" s="6">
        <v>43927</v>
      </c>
      <c r="Q335" s="5" t="s">
        <v>31</v>
      </c>
      <c r="R335" s="5" t="s">
        <v>32</v>
      </c>
      <c r="S335" s="5" t="s">
        <v>33</v>
      </c>
      <c r="T335" s="5"/>
      <c r="U335" s="5">
        <v>229.49</v>
      </c>
      <c r="V335" s="5">
        <v>98.96</v>
      </c>
      <c r="W335" s="5">
        <v>91.38</v>
      </c>
      <c r="X335" s="5">
        <v>0</v>
      </c>
      <c r="Y335" s="5">
        <v>39.15</v>
      </c>
    </row>
    <row r="336" spans="1:25" ht="24.75" x14ac:dyDescent="0.25">
      <c r="A336" s="5" t="s">
        <v>26</v>
      </c>
      <c r="B336" s="5" t="s">
        <v>27</v>
      </c>
      <c r="C336" s="5" t="s">
        <v>47</v>
      </c>
      <c r="D336" s="5" t="s">
        <v>48</v>
      </c>
      <c r="E336" s="5" t="s">
        <v>38</v>
      </c>
      <c r="F336" s="5" t="s">
        <v>58</v>
      </c>
      <c r="G336" s="5">
        <v>2018</v>
      </c>
      <c r="H336" s="5" t="str">
        <f>CONCATENATE("84240487359")</f>
        <v>84240487359</v>
      </c>
      <c r="I336" s="5" t="s">
        <v>29</v>
      </c>
      <c r="J336" s="5" t="s">
        <v>36</v>
      </c>
      <c r="K336" s="5" t="str">
        <f>CONCATENATE("")</f>
        <v/>
      </c>
      <c r="L336" s="5" t="str">
        <f>CONCATENATE("11 11.2 4b")</f>
        <v>11 11.2 4b</v>
      </c>
      <c r="M336" s="5" t="str">
        <f>CONCATENATE("02550110429")</f>
        <v>02550110429</v>
      </c>
      <c r="N336" s="5" t="s">
        <v>436</v>
      </c>
      <c r="O336" s="5" t="s">
        <v>55</v>
      </c>
      <c r="P336" s="6">
        <v>43927</v>
      </c>
      <c r="Q336" s="5" t="s">
        <v>31</v>
      </c>
      <c r="R336" s="5" t="s">
        <v>32</v>
      </c>
      <c r="S336" s="5" t="s">
        <v>33</v>
      </c>
      <c r="T336" s="5"/>
      <c r="U336" s="5">
        <v>53.68</v>
      </c>
      <c r="V336" s="5">
        <v>23.15</v>
      </c>
      <c r="W336" s="5">
        <v>21.38</v>
      </c>
      <c r="X336" s="5">
        <v>0</v>
      </c>
      <c r="Y336" s="5">
        <v>9.15</v>
      </c>
    </row>
    <row r="337" spans="1:25" ht="24.75" x14ac:dyDescent="0.25">
      <c r="A337" s="5" t="s">
        <v>26</v>
      </c>
      <c r="B337" s="5" t="s">
        <v>27</v>
      </c>
      <c r="C337" s="5" t="s">
        <v>47</v>
      </c>
      <c r="D337" s="5" t="s">
        <v>48</v>
      </c>
      <c r="E337" s="5" t="s">
        <v>38</v>
      </c>
      <c r="F337" s="5" t="s">
        <v>58</v>
      </c>
      <c r="G337" s="5">
        <v>2018</v>
      </c>
      <c r="H337" s="5" t="str">
        <f>CONCATENATE("84240488266")</f>
        <v>84240488266</v>
      </c>
      <c r="I337" s="5" t="s">
        <v>29</v>
      </c>
      <c r="J337" s="5" t="s">
        <v>36</v>
      </c>
      <c r="K337" s="5" t="str">
        <f>CONCATENATE("")</f>
        <v/>
      </c>
      <c r="L337" s="5" t="str">
        <f>CONCATENATE("11 11.2 4b")</f>
        <v>11 11.2 4b</v>
      </c>
      <c r="M337" s="5" t="str">
        <f>CONCATENATE("02550110429")</f>
        <v>02550110429</v>
      </c>
      <c r="N337" s="5" t="s">
        <v>436</v>
      </c>
      <c r="O337" s="5" t="s">
        <v>55</v>
      </c>
      <c r="P337" s="6">
        <v>43927</v>
      </c>
      <c r="Q337" s="5" t="s">
        <v>31</v>
      </c>
      <c r="R337" s="5" t="s">
        <v>32</v>
      </c>
      <c r="S337" s="5" t="s">
        <v>33</v>
      </c>
      <c r="T337" s="5"/>
      <c r="U337" s="7">
        <v>4021.56</v>
      </c>
      <c r="V337" s="7">
        <v>1734.1</v>
      </c>
      <c r="W337" s="7">
        <v>1601.39</v>
      </c>
      <c r="X337" s="5">
        <v>0</v>
      </c>
      <c r="Y337" s="5">
        <v>686.07</v>
      </c>
    </row>
    <row r="338" spans="1:25" ht="24.75" x14ac:dyDescent="0.25">
      <c r="A338" s="5" t="s">
        <v>26</v>
      </c>
      <c r="B338" s="5" t="s">
        <v>27</v>
      </c>
      <c r="C338" s="5" t="s">
        <v>47</v>
      </c>
      <c r="D338" s="5" t="s">
        <v>48</v>
      </c>
      <c r="E338" s="5" t="s">
        <v>42</v>
      </c>
      <c r="F338" s="5" t="s">
        <v>221</v>
      </c>
      <c r="G338" s="5">
        <v>2019</v>
      </c>
      <c r="H338" s="5" t="str">
        <f>CONCATENATE("94240401920")</f>
        <v>94240401920</v>
      </c>
      <c r="I338" s="5" t="s">
        <v>29</v>
      </c>
      <c r="J338" s="5" t="s">
        <v>36</v>
      </c>
      <c r="K338" s="5" t="str">
        <f>CONCATENATE("")</f>
        <v/>
      </c>
      <c r="L338" s="5" t="str">
        <f>CONCATENATE("11 11.2 4b")</f>
        <v>11 11.2 4b</v>
      </c>
      <c r="M338" s="5" t="str">
        <f>CONCATENATE("MNCVBR60D02I461U")</f>
        <v>MNCVBR60D02I461U</v>
      </c>
      <c r="N338" s="5" t="s">
        <v>437</v>
      </c>
      <c r="O338" s="5" t="s">
        <v>55</v>
      </c>
      <c r="P338" s="6">
        <v>43927</v>
      </c>
      <c r="Q338" s="5" t="s">
        <v>31</v>
      </c>
      <c r="R338" s="5" t="s">
        <v>32</v>
      </c>
      <c r="S338" s="5" t="s">
        <v>33</v>
      </c>
      <c r="T338" s="5"/>
      <c r="U338" s="7">
        <v>1384.14</v>
      </c>
      <c r="V338" s="5">
        <v>596.84</v>
      </c>
      <c r="W338" s="5">
        <v>551.16</v>
      </c>
      <c r="X338" s="5">
        <v>0</v>
      </c>
      <c r="Y338" s="5">
        <v>236.14</v>
      </c>
    </row>
    <row r="339" spans="1:25" ht="24.75" x14ac:dyDescent="0.25">
      <c r="A339" s="5" t="s">
        <v>26</v>
      </c>
      <c r="B339" s="5" t="s">
        <v>27</v>
      </c>
      <c r="C339" s="5" t="s">
        <v>47</v>
      </c>
      <c r="D339" s="5" t="s">
        <v>102</v>
      </c>
      <c r="E339" s="5" t="s">
        <v>35</v>
      </c>
      <c r="F339" s="5" t="s">
        <v>112</v>
      </c>
      <c r="G339" s="5">
        <v>2018</v>
      </c>
      <c r="H339" s="5" t="str">
        <f>CONCATENATE("84241057268")</f>
        <v>84241057268</v>
      </c>
      <c r="I339" s="5" t="s">
        <v>29</v>
      </c>
      <c r="J339" s="5" t="s">
        <v>36</v>
      </c>
      <c r="K339" s="5" t="str">
        <f>CONCATENATE("")</f>
        <v/>
      </c>
      <c r="L339" s="5" t="str">
        <f>CONCATENATE("10 10.1 4a")</f>
        <v>10 10.1 4a</v>
      </c>
      <c r="M339" s="5" t="str">
        <f>CONCATENATE("02139620443")</f>
        <v>02139620443</v>
      </c>
      <c r="N339" s="5" t="s">
        <v>438</v>
      </c>
      <c r="O339" s="5" t="s">
        <v>392</v>
      </c>
      <c r="P339" s="6">
        <v>43927</v>
      </c>
      <c r="Q339" s="5" t="s">
        <v>31</v>
      </c>
      <c r="R339" s="5" t="s">
        <v>32</v>
      </c>
      <c r="S339" s="5" t="s">
        <v>33</v>
      </c>
      <c r="T339" s="5"/>
      <c r="U339" s="7">
        <v>1080.45</v>
      </c>
      <c r="V339" s="5">
        <v>465.89</v>
      </c>
      <c r="W339" s="5">
        <v>430.24</v>
      </c>
      <c r="X339" s="5">
        <v>0</v>
      </c>
      <c r="Y339" s="5">
        <v>184.32</v>
      </c>
    </row>
    <row r="340" spans="1:25" ht="24.75" x14ac:dyDescent="0.25">
      <c r="A340" s="5" t="s">
        <v>26</v>
      </c>
      <c r="B340" s="5" t="s">
        <v>27</v>
      </c>
      <c r="C340" s="5" t="s">
        <v>47</v>
      </c>
      <c r="D340" s="5" t="s">
        <v>102</v>
      </c>
      <c r="E340" s="5" t="s">
        <v>35</v>
      </c>
      <c r="F340" s="5" t="s">
        <v>197</v>
      </c>
      <c r="G340" s="5">
        <v>2018</v>
      </c>
      <c r="H340" s="5" t="str">
        <f>CONCATENATE("84240815773")</f>
        <v>84240815773</v>
      </c>
      <c r="I340" s="5" t="s">
        <v>29</v>
      </c>
      <c r="J340" s="5" t="s">
        <v>36</v>
      </c>
      <c r="K340" s="5" t="str">
        <f>CONCATENATE("")</f>
        <v/>
      </c>
      <c r="L340" s="5" t="str">
        <f>CONCATENATE("10 10.1 4a")</f>
        <v>10 10.1 4a</v>
      </c>
      <c r="M340" s="5" t="str">
        <f>CONCATENATE("PLLGPP53R02F536D")</f>
        <v>PLLGPP53R02F536D</v>
      </c>
      <c r="N340" s="5" t="s">
        <v>439</v>
      </c>
      <c r="O340" s="5" t="s">
        <v>392</v>
      </c>
      <c r="P340" s="6">
        <v>43927</v>
      </c>
      <c r="Q340" s="5" t="s">
        <v>31</v>
      </c>
      <c r="R340" s="5" t="s">
        <v>32</v>
      </c>
      <c r="S340" s="5" t="s">
        <v>33</v>
      </c>
      <c r="T340" s="5"/>
      <c r="U340" s="7">
        <v>2218.48</v>
      </c>
      <c r="V340" s="5">
        <v>956.61</v>
      </c>
      <c r="W340" s="5">
        <v>883.4</v>
      </c>
      <c r="X340" s="5">
        <v>0</v>
      </c>
      <c r="Y340" s="5">
        <v>378.47</v>
      </c>
    </row>
    <row r="341" spans="1:25" ht="24.75" x14ac:dyDescent="0.25">
      <c r="A341" s="5" t="s">
        <v>26</v>
      </c>
      <c r="B341" s="5" t="s">
        <v>27</v>
      </c>
      <c r="C341" s="5" t="s">
        <v>47</v>
      </c>
      <c r="D341" s="5" t="s">
        <v>52</v>
      </c>
      <c r="E341" s="5" t="s">
        <v>28</v>
      </c>
      <c r="F341" s="5" t="s">
        <v>60</v>
      </c>
      <c r="G341" s="5">
        <v>2019</v>
      </c>
      <c r="H341" s="5" t="str">
        <f>CONCATENATE("94240721376")</f>
        <v>94240721376</v>
      </c>
      <c r="I341" s="5" t="s">
        <v>29</v>
      </c>
      <c r="J341" s="5" t="s">
        <v>36</v>
      </c>
      <c r="K341" s="5" t="str">
        <f>CONCATENATE("")</f>
        <v/>
      </c>
      <c r="L341" s="5" t="str">
        <f>CONCATENATE("11 11.2 4b")</f>
        <v>11 11.2 4b</v>
      </c>
      <c r="M341" s="5" t="str">
        <f>CONCATENATE("BDRRSU53B23Z133Q")</f>
        <v>BDRRSU53B23Z133Q</v>
      </c>
      <c r="N341" s="5" t="s">
        <v>440</v>
      </c>
      <c r="O341" s="5" t="s">
        <v>55</v>
      </c>
      <c r="P341" s="6">
        <v>43927</v>
      </c>
      <c r="Q341" s="5" t="s">
        <v>31</v>
      </c>
      <c r="R341" s="5" t="s">
        <v>32</v>
      </c>
      <c r="S341" s="5" t="s">
        <v>33</v>
      </c>
      <c r="T341" s="5"/>
      <c r="U341" s="5">
        <v>403</v>
      </c>
      <c r="V341" s="5">
        <v>173.77</v>
      </c>
      <c r="W341" s="5">
        <v>160.47</v>
      </c>
      <c r="X341" s="5">
        <v>0</v>
      </c>
      <c r="Y341" s="5">
        <v>68.760000000000005</v>
      </c>
    </row>
    <row r="342" spans="1:25" ht="24.75" x14ac:dyDescent="0.25">
      <c r="A342" s="5" t="s">
        <v>26</v>
      </c>
      <c r="B342" s="5" t="s">
        <v>27</v>
      </c>
      <c r="C342" s="5" t="s">
        <v>47</v>
      </c>
      <c r="D342" s="5" t="s">
        <v>48</v>
      </c>
      <c r="E342" s="5" t="s">
        <v>35</v>
      </c>
      <c r="F342" s="5" t="s">
        <v>85</v>
      </c>
      <c r="G342" s="5">
        <v>2019</v>
      </c>
      <c r="H342" s="5" t="str">
        <f>CONCATENATE("94240988355")</f>
        <v>94240988355</v>
      </c>
      <c r="I342" s="5" t="s">
        <v>29</v>
      </c>
      <c r="J342" s="5" t="s">
        <v>36</v>
      </c>
      <c r="K342" s="5" t="str">
        <f>CONCATENATE("")</f>
        <v/>
      </c>
      <c r="L342" s="5" t="str">
        <f>CONCATENATE("11 11.2 4b")</f>
        <v>11 11.2 4b</v>
      </c>
      <c r="M342" s="5" t="str">
        <f>CONCATENATE("CCLBSL62E04I608I")</f>
        <v>CCLBSL62E04I608I</v>
      </c>
      <c r="N342" s="5" t="s">
        <v>441</v>
      </c>
      <c r="O342" s="5" t="s">
        <v>55</v>
      </c>
      <c r="P342" s="6">
        <v>43927</v>
      </c>
      <c r="Q342" s="5" t="s">
        <v>31</v>
      </c>
      <c r="R342" s="5" t="s">
        <v>32</v>
      </c>
      <c r="S342" s="5" t="s">
        <v>33</v>
      </c>
      <c r="T342" s="5"/>
      <c r="U342" s="7">
        <v>3571.28</v>
      </c>
      <c r="V342" s="7">
        <v>1539.94</v>
      </c>
      <c r="W342" s="7">
        <v>1422.08</v>
      </c>
      <c r="X342" s="5">
        <v>0</v>
      </c>
      <c r="Y342" s="5">
        <v>609.26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2020-04-09T19:47:55Z</dcterms:created>
  <dcterms:modified xsi:type="dcterms:W3CDTF">2020-04-09T19:48:57Z</dcterms:modified>
</cp:coreProperties>
</file>