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PAGABILI" sheetId="1" r:id="rId1"/>
  </sheets>
  <definedNames>
    <definedName name="HTML_all">#REF!</definedName>
    <definedName name="HTML_tables">#REF!</definedName>
    <definedName name="HTML_1">#REF!</definedName>
    <definedName name="__Anonymous_Sheet_DB__1">#REF!</definedName>
  </definedNames>
  <calcPr fullCalcOnLoad="1"/>
</workbook>
</file>

<file path=xl/sharedStrings.xml><?xml version="1.0" encoding="utf-8"?>
<sst xmlns="http://schemas.openxmlformats.org/spreadsheetml/2006/main" count="1776" uniqueCount="194">
  <si>
    <t>Dettaglio Domande Pagabili Decreto 350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</si>
  <si>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</si>
  <si>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</si>
  <si>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</si>
  <si>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</si>
  <si>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</si>
  <si>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</si>
  <si>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</si>
  <si>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</si>
  <si>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</si>
  <si>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</si>
  <si>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</si>
  <si>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</si>
  <si>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</si>
  <si>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</si>
  <si>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</si>
  <si>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</si>
  <si>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</si>
  <si>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</si>
  <si>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</si>
  <si>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</si>
  <si>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</si>
  <si>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</si>
  <si>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</si>
  <si>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</si>
  <si>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</si>
  <si>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</si>
  <si>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</si>
  <si>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</si>
  <si>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ALIM. - MACERATA</t>
  </si>
  <si>
    <t>CAA Coldiretti srl</t>
  </si>
  <si>
    <t>CAA Coldiretti - MACERATA - 007</t>
  </si>
  <si>
    <t>NO</t>
  </si>
  <si>
    <t>Nuova Programmazione</t>
  </si>
  <si>
    <t>FERRARI CRISTIANA PATRIZIA</t>
  </si>
  <si>
    <t>AGEA.ASR.2020.0096848</t>
  </si>
  <si>
    <t>13/03/2020</t>
  </si>
  <si>
    <t>In Liquidazione</t>
  </si>
  <si>
    <t>Saldo</t>
  </si>
  <si>
    <t>Co-Finanziato</t>
  </si>
  <si>
    <t>CAA LiberiAgricoltori srl già CAA AGCI srl</t>
  </si>
  <si>
    <t>CAA LiberiAgricoltori - MACERATA - 001</t>
  </si>
  <si>
    <t>MENGHI GIOVANNA-MARIA</t>
  </si>
  <si>
    <t>SERV. DEC. AGRICOLTURA E ALIMENTAZIONE - ANCONA</t>
  </si>
  <si>
    <t>CAA Coldiretti - ANCONA - 002</t>
  </si>
  <si>
    <t>SOCIETA' AGRICOLA IL GELSO DEI FRATELLI COFANI DI COFANI LUCA E MICHEL</t>
  </si>
  <si>
    <t>AGEA.ASR.2020.0133502</t>
  </si>
  <si>
    <t>SERV. DEC. AGRICOLTURA E ALIM. -ASCOLI PICENO</t>
  </si>
  <si>
    <t>IN PROPRIO</t>
  </si>
  <si>
    <t>LA GEMINA D'OR SRL</t>
  </si>
  <si>
    <t>SERV. DEC. AGRICOLTURA E ALIMENTAZIONE - PESARO</t>
  </si>
  <si>
    <t>CAA LiberiAgricoltori - PESARO E URBINO - 002</t>
  </si>
  <si>
    <t>SOCIETA' AGRICOLA VIA DEL CAMPO S.S.</t>
  </si>
  <si>
    <t>AGEA.ASR.2020.0133593</t>
  </si>
  <si>
    <t>CAA LiberiAgricoltori - PESARO E URBINO - 001</t>
  </si>
  <si>
    <t>SALTARELLI MAURO</t>
  </si>
  <si>
    <t>CAA Coldiretti - MACERATA - 009</t>
  </si>
  <si>
    <t>ALBERTO QUACQUARINI - SOCIETA' AGRICOLA SEMPLICE</t>
  </si>
  <si>
    <t>CAA Confagricoltura srl</t>
  </si>
  <si>
    <t>CAA Confagricoltura - MACERATA - 001</t>
  </si>
  <si>
    <t>ANCAJANO SOCIETA' AGRICOLA SEMPLICE DI FORCONI STEFANIA &amp; C</t>
  </si>
  <si>
    <t>MARZIALETTI FRANCESCO</t>
  </si>
  <si>
    <t>CAA LiberiAgricoltori - MACERATA - 002</t>
  </si>
  <si>
    <t>SOCIETA' AGRICOLA SU CASARU DI PORCU ANTONIO E GIUSEPPE S.S.</t>
  </si>
  <si>
    <t>CAA-CAF AGRI S.R.L.</t>
  </si>
  <si>
    <t>CAA CAF AGRI - ANCONA - 224</t>
  </si>
  <si>
    <t>SOCIETA' AGRICOLA PASQUINELLI ENNIO S.R.L.</t>
  </si>
  <si>
    <t>FORTI FABIO</t>
  </si>
  <si>
    <t>CAA Coldiretti - PESARO E URBINO - 010</t>
  </si>
  <si>
    <t>CAPRA GIOVANNI ANTONIO</t>
  </si>
  <si>
    <t>CAA CIA srl</t>
  </si>
  <si>
    <t>CAA CIA - ANCONA - 004</t>
  </si>
  <si>
    <t>SBROLLINI LIDIA GABRIELLA</t>
  </si>
  <si>
    <t>CAA Coldiretti - ANCONA - 004</t>
  </si>
  <si>
    <t>MANIZZA FEDERICA</t>
  </si>
  <si>
    <t>CAA CIA - PESARO E URBINO - 002</t>
  </si>
  <si>
    <t>POLITI MATTEO</t>
  </si>
  <si>
    <t>CAA Coldiretti - PESARO E URBINO - 004</t>
  </si>
  <si>
    <t>AZ.AGR CAU &amp; SPADA DI SPADA ANTONINO E C SOC AGR</t>
  </si>
  <si>
    <t>CAA CIA - PESARO E URBINO - 008</t>
  </si>
  <si>
    <t>AZIENDA AGRICOLA FORLANI MILVA &amp; BILANCINI CLAUDIO SOCIETA' AGRICOLA S</t>
  </si>
  <si>
    <t>BETTI PIERLUIGI</t>
  </si>
  <si>
    <t>SERAFINI ANDREA</t>
  </si>
  <si>
    <t>CAA CIA - PESARO E URBINO - 006</t>
  </si>
  <si>
    <t>SOCIETA' AGRICOLA BRUSCIA S.S</t>
  </si>
  <si>
    <t>CAA Confagricoltura - ANCONA - 001</t>
  </si>
  <si>
    <t>AZIENDA AGRICOLA FRATELLI BUCCI S.S. SOCIETA' AGRICOLA</t>
  </si>
  <si>
    <t>CECCAROLI GRAZIANO</t>
  </si>
  <si>
    <t>SOCIETA AGRICOLA L OLMO S.S.</t>
  </si>
  <si>
    <t>CAA Coldiretti - PESARO E URBINO - 008</t>
  </si>
  <si>
    <t>FACCHINI GRAZIELLA</t>
  </si>
  <si>
    <t>AZIENDA AGRARIA LA CALCINARA DI BERLUTI PAOLO ED ELEONORA &amp; C. SOCIETA</t>
  </si>
  <si>
    <t>AGEA.ASR.2020.0133650</t>
  </si>
  <si>
    <t>DOTTORI CORRADO</t>
  </si>
  <si>
    <t>CAA Confagricoltura - FORLI' - CESENA - 001</t>
  </si>
  <si>
    <t>SOCIETA' AGRICOLA CAMPOBELLO S.S.</t>
  </si>
  <si>
    <t>CAA CIA - ANCONA - 005</t>
  </si>
  <si>
    <t>QUATTRINI ARMANDA</t>
  </si>
  <si>
    <t>BRUSCOLI MARIANNA</t>
  </si>
  <si>
    <t>AGEA.ASR.2020.0039587</t>
  </si>
  <si>
    <t>FATTORI LUISA</t>
  </si>
  <si>
    <t>CAA CIA - PESARO E URBINO - 005</t>
  </si>
  <si>
    <t>ROSSINI LORETTA</t>
  </si>
  <si>
    <t>SOCIETA' AGRICOLA PINTUS MARIO &amp; FRANCESCO S.S.</t>
  </si>
  <si>
    <t>CAA Coldiretti - PESARO E URBINO - 001</t>
  </si>
  <si>
    <t>LEONI STEFANO</t>
  </si>
  <si>
    <t>SOCIETA' AGRICOLA CASULA</t>
  </si>
  <si>
    <t>CAA LiberiAgricoltori - MACERATA - 005</t>
  </si>
  <si>
    <t>FERRANTI FABIO</t>
  </si>
  <si>
    <t>CAA Liberi Professionisti srl</t>
  </si>
  <si>
    <t>CAA Liberi Prof.- PESARO E URBINO - 001</t>
  </si>
  <si>
    <t>BRACCI FEDERICA</t>
  </si>
  <si>
    <t>CAA CIA - PESARO E URBINO - 007</t>
  </si>
  <si>
    <t>SOCIETA' AGRICOLA F.LLI LONDEI S.S.</t>
  </si>
  <si>
    <t>SOCIETA' AGRICOLA FIECCHI ADOLFO SOC. SEMPLICE</t>
  </si>
  <si>
    <t>PONTE ARMELLINA SOCIETA' AGRICOLA S.R.L.</t>
  </si>
  <si>
    <t>RENALDI SIMONA</t>
  </si>
  <si>
    <t>SOC.AGR.VILLA LE CASE DI ARNAUTOVICI C.</t>
  </si>
  <si>
    <t>SOCIETA' AGRICOLA CAPPUCCINI S.S.</t>
  </si>
  <si>
    <t>CALIENDI FRANCESCO</t>
  </si>
  <si>
    <t>COL DI CORTE S.R.L. SOCIETA' AGRICOLA</t>
  </si>
  <si>
    <t>CAA UNICAA srl</t>
  </si>
  <si>
    <t>CAA UNICAA - PESARO E URBINO - 003</t>
  </si>
  <si>
    <t>FE.MA. S.A.S. DI GOLINELLI STEFANO &amp; C.</t>
  </si>
  <si>
    <t>BENEDETTI CLAUDIO</t>
  </si>
  <si>
    <t>CAA Coldiretti - ASCOLI PICENO - 025</t>
  </si>
  <si>
    <t>CICCIOLI LUIGI</t>
  </si>
  <si>
    <t>SI</t>
  </si>
  <si>
    <t>NUCCI ERMANNO</t>
  </si>
  <si>
    <t>AZIENDA AGRICOLA CA' MADDALENA SOCIETA' SEMPLICE</t>
  </si>
  <si>
    <t>CAA Confagricoltura - PESARO E URBINO - 001</t>
  </si>
  <si>
    <t>BARBERINI DAVIDE</t>
  </si>
  <si>
    <t>CAA Coldiretti - ANCONA - 006</t>
  </si>
  <si>
    <t>COLOCCINI ANTONIO</t>
  </si>
  <si>
    <t>BALDELLI ANDREA</t>
  </si>
  <si>
    <t>CAA Coldiretti - PESARO E URBINO - 006</t>
  </si>
  <si>
    <t>CATANI DOMENICO</t>
  </si>
  <si>
    <t>GRASSI SILVANA</t>
  </si>
  <si>
    <t>SOCIETA' AGRICOLA PAIARDINI DI PAIARDINI TINO &amp; C. S.A.S.</t>
  </si>
  <si>
    <t>DALLAGO DOMENICO</t>
  </si>
  <si>
    <t>ROSSI FOSCA</t>
  </si>
  <si>
    <t>LA FATTORIA DEI CANTORI SOCIETA' AGRICOLA SS</t>
  </si>
  <si>
    <t>SOCIETA' AGRICOLA CAU MARCELLO &amp; C. S.S.</t>
  </si>
  <si>
    <t>SOCIETA' AGRICOLA VERDEPIANO S.S.</t>
  </si>
  <si>
    <t>AGEA.ASR.2020.0096788</t>
  </si>
  <si>
    <t>BILLO FARM S.R.L. - SOCIETA' AGRICOLA</t>
  </si>
  <si>
    <t>PELLEGRINI MARIA TERESA</t>
  </si>
  <si>
    <t>SACCOMANDI MICHELE</t>
  </si>
  <si>
    <t>CAA Coldiretti - ASCOLI PICENO - 010</t>
  </si>
  <si>
    <t>PAOLINA SOCIETA' AGRICOLA SEMPLICE DEI FRATELLI CAMACCI</t>
  </si>
  <si>
    <t>CAA UNICAA - ASCOLI PICENO - 004</t>
  </si>
  <si>
    <t>BONANNO ROSA RITA</t>
  </si>
  <si>
    <t>CAA Confagricoltura - ASCOLI PICENO - 001</t>
  </si>
  <si>
    <t>TALAMONTI GIUSEPPINA</t>
  </si>
  <si>
    <t>TERRA SOCIETA' COOPERATIVA AGRICOLA SOCIALE ONLUS</t>
  </si>
  <si>
    <t>ERCOLANI LORENZO</t>
  </si>
  <si>
    <t>AGROZOO SOCIETA' AGRICOLA SEMPLICE</t>
  </si>
  <si>
    <t>CATENA GIUSEPPE</t>
  </si>
  <si>
    <t>SA'TANCA SOCIETA' AGRICOLA S.S.</t>
  </si>
  <si>
    <t>TENUTE DEL MONTEFELTRO SOCIETA' AGRICOLA S.S.</t>
  </si>
  <si>
    <t>CAA CIA - ANCONA - 002</t>
  </si>
  <si>
    <t>APIUA SOCIETA' AGRICOLA SEMPLICE DI BERTIN FRANCESCA E CASTIGNANI ROBE</t>
  </si>
  <si>
    <t>CAA CIA - ANCONA - 001</t>
  </si>
  <si>
    <t>FATTORIA LUCESOLE S.N.C. DI MANINI MASSIMILIANO E MAURO SOCIETA' AGRIC</t>
  </si>
  <si>
    <t>MANIERI DAVIDE</t>
  </si>
  <si>
    <t>SADORI MARIO</t>
  </si>
  <si>
    <t>SALTARELLI MARCELLO</t>
  </si>
  <si>
    <t>SOCIETA' AGRICOLA TERRE VERDI S.S.</t>
  </si>
  <si>
    <t>SOCIETA' AGRICOLA SANT'ANDREA DI BERNARDINI PAOLA E C. SOCIETA' SEMPLI</t>
  </si>
  <si>
    <t>CAA CIA - PESARO E URBINO - 001</t>
  </si>
  <si>
    <t>LANZILLOTTI PALMA</t>
  </si>
  <si>
    <t>GAROSI MANUELA</t>
  </si>
  <si>
    <t>CAA CAF AGRI - PESARO E URBINO - 221</t>
  </si>
  <si>
    <t>SOCIETA' AGRICOLA TERRA E SOLE BOSCARINI DI BOSCARINI EMANUELE &amp; C. -</t>
  </si>
  <si>
    <t>CAA Coldiretti - PESARO E URBINO - 013</t>
  </si>
  <si>
    <t>SOCIETA AGRICOLA LA.CRI.MA. VERDE S.S.</t>
  </si>
  <si>
    <t>BETTI DAVID</t>
  </si>
  <si>
    <t>VERGINETO SOCIETA' AGRICOLA SEMPLICE</t>
  </si>
  <si>
    <t>VALLE VERDE SOCIETA' AGRICOLA SEMPLICE</t>
  </si>
  <si>
    <t>CAA Coldiretti - PESARO E URBINO - 007</t>
  </si>
  <si>
    <t>BENVENUTI DIEGO</t>
  </si>
  <si>
    <t>FIORELLI DIEGO</t>
  </si>
  <si>
    <t>SOCIETA' SEMPLICE AGRICOLA DI SABATINI LILLIANA &amp; FIGLI</t>
  </si>
  <si>
    <t>SOCIETA' AGRICOLA MARCACCINI E C. S.S.</t>
  </si>
  <si>
    <t>CARBONI SIMONA</t>
  </si>
  <si>
    <t>IL GIARDINO S.S. - SOCIETA' AGRICOLA</t>
  </si>
  <si>
    <t>CAA LiberiAgricoltori - RIMINI - 001</t>
  </si>
  <si>
    <t>BROCCOLI ADRIANO</t>
  </si>
  <si>
    <t>CAA LiberiAgricoltori - MACERATA - 003</t>
  </si>
  <si>
    <t>BARTOLUCCI LUCIA</t>
  </si>
  <si>
    <t>AGEA.ASR.2020.0047108</t>
  </si>
  <si>
    <t>SOCIETA' SEMPLICE AGRICOLA DEGLI AZZONI F. - MALFATTI C.</t>
  </si>
  <si>
    <t>AURELI CLAUDIA</t>
  </si>
  <si>
    <t>AGEA.ASR.2020.0133612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</si>
</sst>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workbookViewId="0" topLeftCell="A1">
      <selection activeCell="A1" sqref="A1"/>
    </sheetView>
  </sheetViews>
  <sheetFormatPr defaultColWidth="12.57421875" defaultRowHeight="12.75"/>
  <cols>
    <col min="1" max="25" width="34.8515625" style="0" customWidth="1"/>
    <col min="26" max="16384" width="11.57421875" style="0" customWidth="1"/>
  </cols>
  <sheetData>
    <row r="1" spans="1:2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5" t="s">
        <v>25</v>
      </c>
    </row>
    <row r="4" spans="1:25" ht="12.75">
      <c r="A4" s="6" t="s">
        <v>26</v>
      </c>
      <c r="B4" s="7" t="s">
        <v>27</v>
      </c>
      <c r="C4" s="7" t="s">
        <v>28</v>
      </c>
      <c r="D4" s="7" t="s">
        <v>29</v>
      </c>
      <c r="E4" s="7" t="s">
        <v>30</v>
      </c>
      <c r="F4" s="7" t="s">
        <v>31</v>
      </c>
      <c r="G4" s="7">
        <v>2019</v>
      </c>
      <c r="H4" s="7" t="str">
        <f>CONCATENATE("94240744428")</f>
        <v>94240744428</v>
      </c>
      <c r="I4" s="7" t="s">
        <v>32</v>
      </c>
      <c r="J4" s="7" t="s">
        <v>33</v>
      </c>
      <c r="K4" s="7">
        <f>CONCATENATE("")</f>
      </c>
      <c r="L4" s="7" t="str">
        <f>CONCATENATE("11 11.2 4b")</f>
        <v>11 11.2 4b</v>
      </c>
      <c r="M4" s="7" t="str">
        <f>CONCATENATE("FRRCST71E52F205B")</f>
        <v>FRRCST71E52F205B</v>
      </c>
      <c r="N4" s="7" t="s">
        <v>34</v>
      </c>
      <c r="O4" s="7" t="s">
        <v>35</v>
      </c>
      <c r="P4" s="7" t="s">
        <v>36</v>
      </c>
      <c r="Q4" s="7" t="s">
        <v>37</v>
      </c>
      <c r="R4" s="7" t="s">
        <v>38</v>
      </c>
      <c r="S4" s="7" t="s">
        <v>39</v>
      </c>
      <c r="T4" s="7"/>
      <c r="U4" s="7">
        <v>2734.24</v>
      </c>
      <c r="V4" s="7">
        <v>1179</v>
      </c>
      <c r="W4" s="7">
        <v>1088.77</v>
      </c>
      <c r="X4" s="7">
        <v>0</v>
      </c>
      <c r="Y4" s="8">
        <v>466.47</v>
      </c>
    </row>
    <row r="5" spans="1:25" ht="12.75">
      <c r="A5" s="6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>
        <v>2017</v>
      </c>
      <c r="H5" s="7" t="str">
        <f>CONCATENATE("74240915293")</f>
        <v>74240915293</v>
      </c>
      <c r="I5" s="7" t="s">
        <v>32</v>
      </c>
      <c r="J5" s="7" t="s">
        <v>33</v>
      </c>
      <c r="K5" s="7">
        <f>CONCATENATE("")</f>
      </c>
      <c r="L5" s="7" t="str">
        <f>CONCATENATE("11 11.2 4b")</f>
        <v>11 11.2 4b</v>
      </c>
      <c r="M5" s="7" t="str">
        <f>CONCATENATE("FRRCST71E52F205B")</f>
        <v>FRRCST71E52F205B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/>
      <c r="U5" s="7">
        <v>2898.34</v>
      </c>
      <c r="V5" s="7">
        <v>1249.76</v>
      </c>
      <c r="W5" s="7">
        <v>1154.12</v>
      </c>
      <c r="X5" s="7">
        <v>0</v>
      </c>
      <c r="Y5" s="8">
        <v>494.46</v>
      </c>
    </row>
    <row r="6" spans="1:25" ht="12.75">
      <c r="A6" s="6" t="s">
        <v>26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>
        <v>2018</v>
      </c>
      <c r="H6" s="7" t="str">
        <f>CONCATENATE("84241053820")</f>
        <v>84241053820</v>
      </c>
      <c r="I6" s="7" t="s">
        <v>32</v>
      </c>
      <c r="J6" s="7" t="s">
        <v>33</v>
      </c>
      <c r="K6" s="7">
        <f>CONCATENATE("")</f>
      </c>
      <c r="L6" s="7" t="str">
        <f>CONCATENATE("11 11.2 4b")</f>
        <v>11 11.2 4b</v>
      </c>
      <c r="M6" s="7" t="str">
        <f>CONCATENATE("FRRCST71E52F205B")</f>
        <v>FRRCST71E52F205B</v>
      </c>
      <c r="N6" s="7" t="s">
        <v>34</v>
      </c>
      <c r="O6" s="7" t="s">
        <v>35</v>
      </c>
      <c r="P6" s="7" t="s">
        <v>36</v>
      </c>
      <c r="Q6" s="7" t="s">
        <v>37</v>
      </c>
      <c r="R6" s="7" t="s">
        <v>38</v>
      </c>
      <c r="S6" s="7" t="s">
        <v>39</v>
      </c>
      <c r="T6" s="7"/>
      <c r="U6" s="7">
        <v>2734.25</v>
      </c>
      <c r="V6" s="7">
        <v>1179.01</v>
      </c>
      <c r="W6" s="7">
        <v>1088.78</v>
      </c>
      <c r="X6" s="7">
        <v>0</v>
      </c>
      <c r="Y6" s="8">
        <v>466.46</v>
      </c>
    </row>
    <row r="7" spans="1:25" ht="12.75">
      <c r="A7" s="6" t="s">
        <v>26</v>
      </c>
      <c r="B7" s="7" t="s">
        <v>27</v>
      </c>
      <c r="C7" s="7" t="s">
        <v>28</v>
      </c>
      <c r="D7" s="7" t="s">
        <v>29</v>
      </c>
      <c r="E7" s="7" t="s">
        <v>40</v>
      </c>
      <c r="F7" s="7" t="s">
        <v>41</v>
      </c>
      <c r="G7" s="7">
        <v>2019</v>
      </c>
      <c r="H7" s="7" t="str">
        <f>CONCATENATE("94240757933")</f>
        <v>94240757933</v>
      </c>
      <c r="I7" s="7" t="s">
        <v>32</v>
      </c>
      <c r="J7" s="7" t="s">
        <v>33</v>
      </c>
      <c r="K7" s="7">
        <f>CONCATENATE("")</f>
      </c>
      <c r="L7" s="7" t="str">
        <f>CONCATENATE("11 11.2 4b")</f>
        <v>11 11.2 4b</v>
      </c>
      <c r="M7" s="7" t="str">
        <f>CONCATENATE("MNGGNN43L60D042R")</f>
        <v>MNGGNN43L60D042R</v>
      </c>
      <c r="N7" s="7" t="s">
        <v>42</v>
      </c>
      <c r="O7" s="7" t="s">
        <v>35</v>
      </c>
      <c r="P7" s="7" t="s">
        <v>36</v>
      </c>
      <c r="Q7" s="7" t="s">
        <v>37</v>
      </c>
      <c r="R7" s="7" t="s">
        <v>38</v>
      </c>
      <c r="S7" s="7" t="s">
        <v>39</v>
      </c>
      <c r="T7" s="7"/>
      <c r="U7" s="7">
        <v>1078.46</v>
      </c>
      <c r="V7" s="7">
        <v>465.03</v>
      </c>
      <c r="W7" s="7">
        <v>429.44</v>
      </c>
      <c r="X7" s="7">
        <v>0</v>
      </c>
      <c r="Y7" s="8">
        <v>183.99</v>
      </c>
    </row>
    <row r="8" spans="1:25" ht="12.75">
      <c r="A8" s="6" t="s">
        <v>26</v>
      </c>
      <c r="B8" s="7" t="s">
        <v>27</v>
      </c>
      <c r="C8" s="7" t="s">
        <v>28</v>
      </c>
      <c r="D8" s="7" t="s">
        <v>29</v>
      </c>
      <c r="E8" s="7" t="s">
        <v>40</v>
      </c>
      <c r="F8" s="7" t="s">
        <v>41</v>
      </c>
      <c r="G8" s="7">
        <v>2018</v>
      </c>
      <c r="H8" s="7" t="str">
        <f>CONCATENATE("84240479562")</f>
        <v>84240479562</v>
      </c>
      <c r="I8" s="7" t="s">
        <v>32</v>
      </c>
      <c r="J8" s="7" t="s">
        <v>33</v>
      </c>
      <c r="K8" s="7">
        <f>CONCATENATE("")</f>
      </c>
      <c r="L8" s="7" t="str">
        <f>CONCATENATE("11 11.2 4b")</f>
        <v>11 11.2 4b</v>
      </c>
      <c r="M8" s="7" t="str">
        <f>CONCATENATE("MNGGNN43L60D042R")</f>
        <v>MNGGNN43L60D042R</v>
      </c>
      <c r="N8" s="7" t="s">
        <v>42</v>
      </c>
      <c r="O8" s="7" t="s">
        <v>35</v>
      </c>
      <c r="P8" s="7" t="s">
        <v>36</v>
      </c>
      <c r="Q8" s="7" t="s">
        <v>37</v>
      </c>
      <c r="R8" s="7" t="s">
        <v>38</v>
      </c>
      <c r="S8" s="7" t="s">
        <v>39</v>
      </c>
      <c r="T8" s="7"/>
      <c r="U8" s="7">
        <v>1266.93</v>
      </c>
      <c r="V8" s="7">
        <v>546.3</v>
      </c>
      <c r="W8" s="7">
        <v>504.49</v>
      </c>
      <c r="X8" s="7">
        <v>0</v>
      </c>
      <c r="Y8" s="8">
        <v>216.14</v>
      </c>
    </row>
    <row r="9" spans="1:25" ht="12.75">
      <c r="A9" s="6" t="s">
        <v>26</v>
      </c>
      <c r="B9" s="7" t="s">
        <v>27</v>
      </c>
      <c r="C9" s="7" t="s">
        <v>28</v>
      </c>
      <c r="D9" s="7" t="s">
        <v>29</v>
      </c>
      <c r="E9" s="7" t="s">
        <v>40</v>
      </c>
      <c r="F9" s="7" t="s">
        <v>41</v>
      </c>
      <c r="G9" s="7">
        <v>2017</v>
      </c>
      <c r="H9" s="7" t="str">
        <f>CONCATENATE("74240107610")</f>
        <v>74240107610</v>
      </c>
      <c r="I9" s="7" t="s">
        <v>32</v>
      </c>
      <c r="J9" s="7" t="s">
        <v>33</v>
      </c>
      <c r="K9" s="7">
        <f>CONCATENATE("")</f>
      </c>
      <c r="L9" s="7" t="str">
        <f>CONCATENATE("11 11.2 4b")</f>
        <v>11 11.2 4b</v>
      </c>
      <c r="M9" s="7" t="str">
        <f>CONCATENATE("MNGGNN43L60D042R")</f>
        <v>MNGGNN43L60D042R</v>
      </c>
      <c r="N9" s="7" t="s">
        <v>42</v>
      </c>
      <c r="O9" s="7" t="s">
        <v>35</v>
      </c>
      <c r="P9" s="7" t="s">
        <v>36</v>
      </c>
      <c r="Q9" s="7" t="s">
        <v>37</v>
      </c>
      <c r="R9" s="7" t="s">
        <v>38</v>
      </c>
      <c r="S9" s="7" t="s">
        <v>39</v>
      </c>
      <c r="T9" s="7"/>
      <c r="U9" s="7">
        <v>1266.93</v>
      </c>
      <c r="V9" s="7">
        <v>546.3</v>
      </c>
      <c r="W9" s="7">
        <v>504.49</v>
      </c>
      <c r="X9" s="7">
        <v>0</v>
      </c>
      <c r="Y9" s="8">
        <v>216.14</v>
      </c>
    </row>
    <row r="10" spans="1:25" ht="12.75">
      <c r="A10" s="6" t="s">
        <v>26</v>
      </c>
      <c r="B10" s="7" t="s">
        <v>27</v>
      </c>
      <c r="C10" s="7" t="s">
        <v>28</v>
      </c>
      <c r="D10" s="7" t="s">
        <v>43</v>
      </c>
      <c r="E10" s="7" t="s">
        <v>30</v>
      </c>
      <c r="F10" s="7" t="s">
        <v>44</v>
      </c>
      <c r="G10" s="7">
        <v>2017</v>
      </c>
      <c r="H10" s="7" t="str">
        <f>CONCATENATE("74240678768")</f>
        <v>74240678768</v>
      </c>
      <c r="I10" s="7" t="s">
        <v>32</v>
      </c>
      <c r="J10" s="7" t="s">
        <v>33</v>
      </c>
      <c r="K10" s="7">
        <f>CONCATENATE("")</f>
      </c>
      <c r="L10" s="7" t="str">
        <f>CONCATENATE("11 11.2 4b")</f>
        <v>11 11.2 4b</v>
      </c>
      <c r="M10" s="7" t="str">
        <f>CONCATENATE("02711460424")</f>
        <v>02711460424</v>
      </c>
      <c r="N10" s="7" t="s">
        <v>45</v>
      </c>
      <c r="O10" s="7" t="s">
        <v>46</v>
      </c>
      <c r="P10" s="7" t="s">
        <v>36</v>
      </c>
      <c r="Q10" s="7" t="s">
        <v>37</v>
      </c>
      <c r="R10" s="7" t="s">
        <v>38</v>
      </c>
      <c r="S10" s="7" t="s">
        <v>39</v>
      </c>
      <c r="T10" s="7"/>
      <c r="U10" s="7">
        <v>9714.83</v>
      </c>
      <c r="V10" s="7">
        <v>4189.03</v>
      </c>
      <c r="W10" s="7">
        <v>3868.45</v>
      </c>
      <c r="X10" s="7">
        <v>0</v>
      </c>
      <c r="Y10" s="8">
        <v>1657.35</v>
      </c>
    </row>
    <row r="11" spans="1:25" ht="12.75">
      <c r="A11" s="6" t="s">
        <v>26</v>
      </c>
      <c r="B11" s="7" t="s">
        <v>27</v>
      </c>
      <c r="C11" s="7" t="s">
        <v>28</v>
      </c>
      <c r="D11" s="7" t="s">
        <v>47</v>
      </c>
      <c r="E11" s="7" t="s">
        <v>48</v>
      </c>
      <c r="F11" s="7" t="s">
        <v>48</v>
      </c>
      <c r="G11" s="7">
        <v>2018</v>
      </c>
      <c r="H11" s="7" t="str">
        <f>CONCATENATE("84240904346")</f>
        <v>84240904346</v>
      </c>
      <c r="I11" s="7" t="s">
        <v>32</v>
      </c>
      <c r="J11" s="7" t="s">
        <v>33</v>
      </c>
      <c r="K11" s="7">
        <f>CONCATENATE("")</f>
      </c>
      <c r="L11" s="7" t="str">
        <f>CONCATENATE("11 11.1 4b")</f>
        <v>11 11.1 4b</v>
      </c>
      <c r="M11" s="7" t="str">
        <f>CONCATENATE("01688440443")</f>
        <v>01688440443</v>
      </c>
      <c r="N11" s="7" t="s">
        <v>49</v>
      </c>
      <c r="O11" s="7" t="s">
        <v>46</v>
      </c>
      <c r="P11" s="7" t="s">
        <v>36</v>
      </c>
      <c r="Q11" s="7" t="s">
        <v>37</v>
      </c>
      <c r="R11" s="7" t="s">
        <v>38</v>
      </c>
      <c r="S11" s="7" t="s">
        <v>39</v>
      </c>
      <c r="T11" s="7"/>
      <c r="U11" s="7">
        <v>11340.86</v>
      </c>
      <c r="V11" s="7">
        <v>4890.18</v>
      </c>
      <c r="W11" s="7">
        <v>4515.93</v>
      </c>
      <c r="X11" s="7">
        <v>0</v>
      </c>
      <c r="Y11" s="8">
        <v>1934.75</v>
      </c>
    </row>
    <row r="12" spans="1:25" ht="12.75">
      <c r="A12" s="6" t="s">
        <v>26</v>
      </c>
      <c r="B12" s="7" t="s">
        <v>27</v>
      </c>
      <c r="C12" s="7" t="s">
        <v>28</v>
      </c>
      <c r="D12" s="7" t="s">
        <v>50</v>
      </c>
      <c r="E12" s="7" t="s">
        <v>40</v>
      </c>
      <c r="F12" s="7" t="s">
        <v>51</v>
      </c>
      <c r="G12" s="7">
        <v>2019</v>
      </c>
      <c r="H12" s="7" t="str">
        <f>CONCATENATE("94240799307")</f>
        <v>94240799307</v>
      </c>
      <c r="I12" s="7" t="s">
        <v>32</v>
      </c>
      <c r="J12" s="7" t="s">
        <v>33</v>
      </c>
      <c r="K12" s="7">
        <f>CONCATENATE("")</f>
      </c>
      <c r="L12" s="7" t="str">
        <f>CONCATENATE("11 11.2 4b")</f>
        <v>11 11.2 4b</v>
      </c>
      <c r="M12" s="7" t="str">
        <f>CONCATENATE("02426080418")</f>
        <v>02426080418</v>
      </c>
      <c r="N12" s="7" t="s">
        <v>52</v>
      </c>
      <c r="O12" s="7" t="s">
        <v>53</v>
      </c>
      <c r="P12" s="7" t="s">
        <v>36</v>
      </c>
      <c r="Q12" s="7" t="s">
        <v>37</v>
      </c>
      <c r="R12" s="7" t="s">
        <v>38</v>
      </c>
      <c r="S12" s="7" t="s">
        <v>39</v>
      </c>
      <c r="T12" s="7"/>
      <c r="U12" s="7">
        <v>136.38</v>
      </c>
      <c r="V12" s="7">
        <v>58.81</v>
      </c>
      <c r="W12" s="7">
        <v>54.31</v>
      </c>
      <c r="X12" s="7">
        <v>0</v>
      </c>
      <c r="Y12" s="8">
        <v>23.26</v>
      </c>
    </row>
    <row r="13" spans="1:25" ht="12.75">
      <c r="A13" s="6" t="s">
        <v>26</v>
      </c>
      <c r="B13" s="7" t="s">
        <v>27</v>
      </c>
      <c r="C13" s="7" t="s">
        <v>28</v>
      </c>
      <c r="D13" s="7" t="s">
        <v>50</v>
      </c>
      <c r="E13" s="7" t="s">
        <v>40</v>
      </c>
      <c r="F13" s="7" t="s">
        <v>54</v>
      </c>
      <c r="G13" s="7">
        <v>2019</v>
      </c>
      <c r="H13" s="7" t="str">
        <f>CONCATENATE("94240668189")</f>
        <v>94240668189</v>
      </c>
      <c r="I13" s="7" t="s">
        <v>32</v>
      </c>
      <c r="J13" s="7" t="s">
        <v>33</v>
      </c>
      <c r="K13" s="7">
        <f>CONCATENATE("")</f>
      </c>
      <c r="L13" s="7" t="str">
        <f>CONCATENATE("11 11.2 4b")</f>
        <v>11 11.2 4b</v>
      </c>
      <c r="M13" s="7" t="str">
        <f>CONCATENATE("SLTMRA60M31I459G")</f>
        <v>SLTMRA60M31I459G</v>
      </c>
      <c r="N13" s="7" t="s">
        <v>55</v>
      </c>
      <c r="O13" s="7" t="s">
        <v>53</v>
      </c>
      <c r="P13" s="7" t="s">
        <v>36</v>
      </c>
      <c r="Q13" s="7" t="s">
        <v>37</v>
      </c>
      <c r="R13" s="7" t="s">
        <v>38</v>
      </c>
      <c r="S13" s="7" t="s">
        <v>39</v>
      </c>
      <c r="T13" s="7"/>
      <c r="U13" s="7">
        <v>1797.46</v>
      </c>
      <c r="V13" s="7">
        <v>775.06</v>
      </c>
      <c r="W13" s="7">
        <v>715.75</v>
      </c>
      <c r="X13" s="7">
        <v>0</v>
      </c>
      <c r="Y13" s="8">
        <v>306.65</v>
      </c>
    </row>
    <row r="14" spans="1:25" ht="12.75">
      <c r="A14" s="6" t="s">
        <v>26</v>
      </c>
      <c r="B14" s="7" t="s">
        <v>27</v>
      </c>
      <c r="C14" s="7" t="s">
        <v>28</v>
      </c>
      <c r="D14" s="7" t="s">
        <v>29</v>
      </c>
      <c r="E14" s="7" t="s">
        <v>30</v>
      </c>
      <c r="F14" s="7" t="s">
        <v>56</v>
      </c>
      <c r="G14" s="7">
        <v>2019</v>
      </c>
      <c r="H14" s="7" t="str">
        <f>CONCATENATE("94241701716")</f>
        <v>94241701716</v>
      </c>
      <c r="I14" s="7" t="s">
        <v>32</v>
      </c>
      <c r="J14" s="7" t="s">
        <v>33</v>
      </c>
      <c r="K14" s="7">
        <f>CONCATENATE("")</f>
      </c>
      <c r="L14" s="7" t="str">
        <f>CONCATENATE("11 11.2 4b")</f>
        <v>11 11.2 4b</v>
      </c>
      <c r="M14" s="7" t="str">
        <f>CONCATENATE("01593570433")</f>
        <v>01593570433</v>
      </c>
      <c r="N14" s="7" t="s">
        <v>57</v>
      </c>
      <c r="O14" s="7" t="s">
        <v>35</v>
      </c>
      <c r="P14" s="7" t="s">
        <v>36</v>
      </c>
      <c r="Q14" s="7" t="s">
        <v>37</v>
      </c>
      <c r="R14" s="7" t="s">
        <v>38</v>
      </c>
      <c r="S14" s="7" t="s">
        <v>39</v>
      </c>
      <c r="T14" s="7"/>
      <c r="U14" s="7">
        <v>10139.42</v>
      </c>
      <c r="V14" s="7">
        <v>4372.12</v>
      </c>
      <c r="W14" s="7">
        <v>4037.52</v>
      </c>
      <c r="X14" s="7">
        <v>0</v>
      </c>
      <c r="Y14" s="8">
        <v>1729.78</v>
      </c>
    </row>
    <row r="15" spans="1:25" ht="12.75">
      <c r="A15" s="6" t="s">
        <v>26</v>
      </c>
      <c r="B15" s="7" t="s">
        <v>27</v>
      </c>
      <c r="C15" s="7" t="s">
        <v>28</v>
      </c>
      <c r="D15" s="7" t="s">
        <v>29</v>
      </c>
      <c r="E15" s="7" t="s">
        <v>58</v>
      </c>
      <c r="F15" s="7" t="s">
        <v>59</v>
      </c>
      <c r="G15" s="7">
        <v>2018</v>
      </c>
      <c r="H15" s="7" t="str">
        <f>CONCATENATE("84240509814")</f>
        <v>84240509814</v>
      </c>
      <c r="I15" s="7" t="s">
        <v>32</v>
      </c>
      <c r="J15" s="7" t="s">
        <v>33</v>
      </c>
      <c r="K15" s="7">
        <f>CONCATENATE("")</f>
      </c>
      <c r="L15" s="7" t="str">
        <f>CONCATENATE("11 11.2 4b")</f>
        <v>11 11.2 4b</v>
      </c>
      <c r="M15" s="7" t="str">
        <f>CONCATENATE("01612070431")</f>
        <v>01612070431</v>
      </c>
      <c r="N15" s="7" t="s">
        <v>60</v>
      </c>
      <c r="O15" s="7" t="s">
        <v>35</v>
      </c>
      <c r="P15" s="7" t="s">
        <v>36</v>
      </c>
      <c r="Q15" s="7" t="s">
        <v>37</v>
      </c>
      <c r="R15" s="7" t="s">
        <v>38</v>
      </c>
      <c r="S15" s="7" t="s">
        <v>39</v>
      </c>
      <c r="T15" s="7"/>
      <c r="U15" s="7">
        <v>8842.04</v>
      </c>
      <c r="V15" s="7">
        <v>3812.69</v>
      </c>
      <c r="W15" s="7">
        <v>3520.9</v>
      </c>
      <c r="X15" s="7">
        <v>0</v>
      </c>
      <c r="Y15" s="8">
        <v>1508.45</v>
      </c>
    </row>
    <row r="16" spans="1:25" ht="12.75">
      <c r="A16" s="6" t="s">
        <v>26</v>
      </c>
      <c r="B16" s="7" t="s">
        <v>27</v>
      </c>
      <c r="C16" s="7" t="s">
        <v>28</v>
      </c>
      <c r="D16" s="7" t="s">
        <v>29</v>
      </c>
      <c r="E16" s="7" t="s">
        <v>30</v>
      </c>
      <c r="F16" s="7" t="s">
        <v>31</v>
      </c>
      <c r="G16" s="7">
        <v>2017</v>
      </c>
      <c r="H16" s="7" t="str">
        <f>CONCATENATE("74240899836")</f>
        <v>74240899836</v>
      </c>
      <c r="I16" s="7" t="s">
        <v>32</v>
      </c>
      <c r="J16" s="7" t="s">
        <v>33</v>
      </c>
      <c r="K16" s="7">
        <f>CONCATENATE("")</f>
      </c>
      <c r="L16" s="7" t="str">
        <f>CONCATENATE("11 11.2 4b")</f>
        <v>11 11.2 4b</v>
      </c>
      <c r="M16" s="7" t="str">
        <f>CONCATENATE("MRZFNC54M08F622K")</f>
        <v>MRZFNC54M08F622K</v>
      </c>
      <c r="N16" s="7" t="s">
        <v>61</v>
      </c>
      <c r="O16" s="7" t="s">
        <v>35</v>
      </c>
      <c r="P16" s="7" t="s">
        <v>36</v>
      </c>
      <c r="Q16" s="7" t="s">
        <v>37</v>
      </c>
      <c r="R16" s="7" t="s">
        <v>38</v>
      </c>
      <c r="S16" s="7" t="s">
        <v>39</v>
      </c>
      <c r="T16" s="7"/>
      <c r="U16" s="7">
        <v>2378.21</v>
      </c>
      <c r="V16" s="7">
        <v>1025.48</v>
      </c>
      <c r="W16" s="7">
        <v>947</v>
      </c>
      <c r="X16" s="7">
        <v>0</v>
      </c>
      <c r="Y16" s="8">
        <v>405.73</v>
      </c>
    </row>
    <row r="17" spans="1:25" ht="12.75">
      <c r="A17" s="6" t="s">
        <v>26</v>
      </c>
      <c r="B17" s="7" t="s">
        <v>27</v>
      </c>
      <c r="C17" s="7" t="s">
        <v>28</v>
      </c>
      <c r="D17" s="7" t="s">
        <v>29</v>
      </c>
      <c r="E17" s="7" t="s">
        <v>30</v>
      </c>
      <c r="F17" s="7" t="s">
        <v>31</v>
      </c>
      <c r="G17" s="7">
        <v>2018</v>
      </c>
      <c r="H17" s="7" t="str">
        <f>CONCATENATE("84240440309")</f>
        <v>84240440309</v>
      </c>
      <c r="I17" s="7" t="s">
        <v>32</v>
      </c>
      <c r="J17" s="7" t="s">
        <v>33</v>
      </c>
      <c r="K17" s="7">
        <f>CONCATENATE("")</f>
      </c>
      <c r="L17" s="7" t="str">
        <f>CONCATENATE("11 11.2 4b")</f>
        <v>11 11.2 4b</v>
      </c>
      <c r="M17" s="7" t="str">
        <f>CONCATENATE("MRZFNC54M08F622K")</f>
        <v>MRZFNC54M08F622K</v>
      </c>
      <c r="N17" s="7" t="s">
        <v>61</v>
      </c>
      <c r="O17" s="7" t="s">
        <v>35</v>
      </c>
      <c r="P17" s="7" t="s">
        <v>36</v>
      </c>
      <c r="Q17" s="7" t="s">
        <v>37</v>
      </c>
      <c r="R17" s="7" t="s">
        <v>38</v>
      </c>
      <c r="S17" s="7" t="s">
        <v>39</v>
      </c>
      <c r="T17" s="7"/>
      <c r="U17" s="7">
        <v>2359.44</v>
      </c>
      <c r="V17" s="7">
        <v>1017.39</v>
      </c>
      <c r="W17" s="7">
        <v>939.53</v>
      </c>
      <c r="X17" s="7">
        <v>0</v>
      </c>
      <c r="Y17" s="8">
        <v>402.52</v>
      </c>
    </row>
    <row r="18" spans="1:25" ht="12.75">
      <c r="A18" s="6" t="s">
        <v>26</v>
      </c>
      <c r="B18" s="7" t="s">
        <v>27</v>
      </c>
      <c r="C18" s="7" t="s">
        <v>28</v>
      </c>
      <c r="D18" s="7" t="s">
        <v>29</v>
      </c>
      <c r="E18" s="7" t="s">
        <v>30</v>
      </c>
      <c r="F18" s="7" t="s">
        <v>31</v>
      </c>
      <c r="G18" s="7">
        <v>2019</v>
      </c>
      <c r="H18" s="7" t="str">
        <f>CONCATENATE("94240755010")</f>
        <v>94240755010</v>
      </c>
      <c r="I18" s="7" t="s">
        <v>32</v>
      </c>
      <c r="J18" s="7" t="s">
        <v>33</v>
      </c>
      <c r="K18" s="7">
        <f>CONCATENATE("")</f>
      </c>
      <c r="L18" s="7" t="str">
        <f>CONCATENATE("11 11.2 4b")</f>
        <v>11 11.2 4b</v>
      </c>
      <c r="M18" s="7" t="str">
        <f>CONCATENATE("MRZFNC54M08F622K")</f>
        <v>MRZFNC54M08F622K</v>
      </c>
      <c r="N18" s="7" t="s">
        <v>61</v>
      </c>
      <c r="O18" s="7" t="s">
        <v>35</v>
      </c>
      <c r="P18" s="7" t="s">
        <v>36</v>
      </c>
      <c r="Q18" s="7" t="s">
        <v>37</v>
      </c>
      <c r="R18" s="7" t="s">
        <v>38</v>
      </c>
      <c r="S18" s="7" t="s">
        <v>39</v>
      </c>
      <c r="T18" s="7"/>
      <c r="U18" s="7">
        <v>2471.8</v>
      </c>
      <c r="V18" s="7">
        <v>1065.84</v>
      </c>
      <c r="W18" s="7">
        <v>984.27</v>
      </c>
      <c r="X18" s="7">
        <v>0</v>
      </c>
      <c r="Y18" s="8">
        <v>421.69</v>
      </c>
    </row>
    <row r="19" spans="1:25" ht="12.75">
      <c r="A19" s="6" t="s">
        <v>26</v>
      </c>
      <c r="B19" s="7" t="s">
        <v>27</v>
      </c>
      <c r="C19" s="7" t="s">
        <v>28</v>
      </c>
      <c r="D19" s="7" t="s">
        <v>29</v>
      </c>
      <c r="E19" s="7" t="s">
        <v>40</v>
      </c>
      <c r="F19" s="7" t="s">
        <v>62</v>
      </c>
      <c r="G19" s="7">
        <v>2019</v>
      </c>
      <c r="H19" s="7" t="str">
        <f>CONCATENATE("94240529985")</f>
        <v>94240529985</v>
      </c>
      <c r="I19" s="7" t="s">
        <v>32</v>
      </c>
      <c r="J19" s="7" t="s">
        <v>33</v>
      </c>
      <c r="K19" s="7">
        <f>CONCATENATE("")</f>
      </c>
      <c r="L19" s="7" t="str">
        <f>CONCATENATE("11 11.2 4b")</f>
        <v>11 11.2 4b</v>
      </c>
      <c r="M19" s="7" t="str">
        <f>CONCATENATE("01976990430")</f>
        <v>01976990430</v>
      </c>
      <c r="N19" s="7" t="s">
        <v>63</v>
      </c>
      <c r="O19" s="7" t="s">
        <v>35</v>
      </c>
      <c r="P19" s="7" t="s">
        <v>36</v>
      </c>
      <c r="Q19" s="7" t="s">
        <v>37</v>
      </c>
      <c r="R19" s="7" t="s">
        <v>38</v>
      </c>
      <c r="S19" s="7" t="s">
        <v>39</v>
      </c>
      <c r="T19" s="7"/>
      <c r="U19" s="7">
        <v>3838.76</v>
      </c>
      <c r="V19" s="7">
        <v>1655.27</v>
      </c>
      <c r="W19" s="7">
        <v>1528.59</v>
      </c>
      <c r="X19" s="7">
        <v>0</v>
      </c>
      <c r="Y19" s="8">
        <v>654.9</v>
      </c>
    </row>
    <row r="20" spans="1:25" ht="12.75">
      <c r="A20" s="6" t="s">
        <v>26</v>
      </c>
      <c r="B20" s="7" t="s">
        <v>27</v>
      </c>
      <c r="C20" s="7" t="s">
        <v>28</v>
      </c>
      <c r="D20" s="7" t="s">
        <v>29</v>
      </c>
      <c r="E20" s="7" t="s">
        <v>40</v>
      </c>
      <c r="F20" s="7" t="s">
        <v>62</v>
      </c>
      <c r="G20" s="7">
        <v>2019</v>
      </c>
      <c r="H20" s="7" t="str">
        <f>CONCATENATE("94240530116")</f>
        <v>94240530116</v>
      </c>
      <c r="I20" s="7" t="s">
        <v>32</v>
      </c>
      <c r="J20" s="7" t="s">
        <v>33</v>
      </c>
      <c r="K20" s="7">
        <f>CONCATENATE("")</f>
      </c>
      <c r="L20" s="7" t="str">
        <f>CONCATENATE("11 11.2 4b")</f>
        <v>11 11.2 4b</v>
      </c>
      <c r="M20" s="7" t="str">
        <f>CONCATENATE("01976990430")</f>
        <v>01976990430</v>
      </c>
      <c r="N20" s="7" t="s">
        <v>63</v>
      </c>
      <c r="O20" s="7" t="s">
        <v>35</v>
      </c>
      <c r="P20" s="7" t="s">
        <v>36</v>
      </c>
      <c r="Q20" s="7" t="s">
        <v>37</v>
      </c>
      <c r="R20" s="7" t="s">
        <v>38</v>
      </c>
      <c r="S20" s="7" t="s">
        <v>39</v>
      </c>
      <c r="T20" s="7"/>
      <c r="U20" s="7">
        <v>412.91</v>
      </c>
      <c r="V20" s="7">
        <v>178.05</v>
      </c>
      <c r="W20" s="7">
        <v>164.42</v>
      </c>
      <c r="X20" s="7">
        <v>0</v>
      </c>
      <c r="Y20" s="8">
        <v>70.44</v>
      </c>
    </row>
    <row r="21" spans="1:25" ht="12.75">
      <c r="A21" s="6" t="s">
        <v>26</v>
      </c>
      <c r="B21" s="7" t="s">
        <v>27</v>
      </c>
      <c r="C21" s="7" t="s">
        <v>28</v>
      </c>
      <c r="D21" s="7" t="s">
        <v>29</v>
      </c>
      <c r="E21" s="7" t="s">
        <v>40</v>
      </c>
      <c r="F21" s="7" t="s">
        <v>62</v>
      </c>
      <c r="G21" s="7">
        <v>2019</v>
      </c>
      <c r="H21" s="7" t="str">
        <f>CONCATENATE("94240530140")</f>
        <v>94240530140</v>
      </c>
      <c r="I21" s="7" t="s">
        <v>32</v>
      </c>
      <c r="J21" s="7" t="s">
        <v>33</v>
      </c>
      <c r="K21" s="7">
        <f>CONCATENATE("")</f>
      </c>
      <c r="L21" s="7" t="str">
        <f>CONCATENATE("11 11.2 4b")</f>
        <v>11 11.2 4b</v>
      </c>
      <c r="M21" s="7" t="str">
        <f>CONCATENATE("01976990430")</f>
        <v>01976990430</v>
      </c>
      <c r="N21" s="7" t="s">
        <v>63</v>
      </c>
      <c r="O21" s="7" t="s">
        <v>35</v>
      </c>
      <c r="P21" s="7" t="s">
        <v>36</v>
      </c>
      <c r="Q21" s="7" t="s">
        <v>37</v>
      </c>
      <c r="R21" s="7" t="s">
        <v>38</v>
      </c>
      <c r="S21" s="7" t="s">
        <v>39</v>
      </c>
      <c r="T21" s="7"/>
      <c r="U21" s="7">
        <v>6741.29</v>
      </c>
      <c r="V21" s="7">
        <v>2906.84</v>
      </c>
      <c r="W21" s="7">
        <v>2684.38</v>
      </c>
      <c r="X21" s="7">
        <v>0</v>
      </c>
      <c r="Y21" s="8">
        <v>1150.07</v>
      </c>
    </row>
    <row r="22" spans="1:25" ht="12.75">
      <c r="A22" s="6" t="s">
        <v>26</v>
      </c>
      <c r="B22" s="7" t="s">
        <v>27</v>
      </c>
      <c r="C22" s="7" t="s">
        <v>28</v>
      </c>
      <c r="D22" s="7" t="s">
        <v>29</v>
      </c>
      <c r="E22" s="7" t="s">
        <v>64</v>
      </c>
      <c r="F22" s="7" t="s">
        <v>65</v>
      </c>
      <c r="G22" s="7">
        <v>2019</v>
      </c>
      <c r="H22" s="7" t="str">
        <f>CONCATENATE("94240924608")</f>
        <v>94240924608</v>
      </c>
      <c r="I22" s="7" t="s">
        <v>32</v>
      </c>
      <c r="J22" s="7" t="s">
        <v>33</v>
      </c>
      <c r="K22" s="7">
        <f>CONCATENATE("")</f>
      </c>
      <c r="L22" s="7" t="str">
        <f>CONCATENATE("11 11.2 4b")</f>
        <v>11 11.2 4b</v>
      </c>
      <c r="M22" s="7" t="str">
        <f>CONCATENATE("82001310422")</f>
        <v>82001310422</v>
      </c>
      <c r="N22" s="7" t="s">
        <v>66</v>
      </c>
      <c r="O22" s="7" t="s">
        <v>35</v>
      </c>
      <c r="P22" s="7" t="s">
        <v>36</v>
      </c>
      <c r="Q22" s="7" t="s">
        <v>37</v>
      </c>
      <c r="R22" s="7" t="s">
        <v>38</v>
      </c>
      <c r="S22" s="7" t="s">
        <v>39</v>
      </c>
      <c r="T22" s="7"/>
      <c r="U22" s="7">
        <v>17613.61</v>
      </c>
      <c r="V22" s="7">
        <v>7594.99</v>
      </c>
      <c r="W22" s="7">
        <v>7013.74</v>
      </c>
      <c r="X22" s="7">
        <v>0</v>
      </c>
      <c r="Y22" s="8">
        <v>3004.88</v>
      </c>
    </row>
    <row r="23" spans="1:25" ht="12.75">
      <c r="A23" s="6" t="s">
        <v>26</v>
      </c>
      <c r="B23" s="7" t="s">
        <v>27</v>
      </c>
      <c r="C23" s="7" t="s">
        <v>28</v>
      </c>
      <c r="D23" s="7" t="s">
        <v>29</v>
      </c>
      <c r="E23" s="7" t="s">
        <v>64</v>
      </c>
      <c r="F23" s="7" t="s">
        <v>65</v>
      </c>
      <c r="G23" s="7">
        <v>2018</v>
      </c>
      <c r="H23" s="7" t="str">
        <f>CONCATENATE("84240801724")</f>
        <v>84240801724</v>
      </c>
      <c r="I23" s="7" t="s">
        <v>32</v>
      </c>
      <c r="J23" s="7" t="s">
        <v>33</v>
      </c>
      <c r="K23" s="7">
        <f>CONCATENATE("")</f>
      </c>
      <c r="L23" s="7" t="str">
        <f>CONCATENATE("11 11.2 4b")</f>
        <v>11 11.2 4b</v>
      </c>
      <c r="M23" s="7" t="str">
        <f>CONCATENATE("82001310422")</f>
        <v>82001310422</v>
      </c>
      <c r="N23" s="7" t="s">
        <v>66</v>
      </c>
      <c r="O23" s="7" t="s">
        <v>35</v>
      </c>
      <c r="P23" s="7" t="s">
        <v>36</v>
      </c>
      <c r="Q23" s="7" t="s">
        <v>37</v>
      </c>
      <c r="R23" s="7" t="s">
        <v>38</v>
      </c>
      <c r="S23" s="7" t="s">
        <v>39</v>
      </c>
      <c r="T23" s="7"/>
      <c r="U23" s="7">
        <v>18951.04</v>
      </c>
      <c r="V23" s="7">
        <v>8171.69</v>
      </c>
      <c r="W23" s="7">
        <v>7546.3</v>
      </c>
      <c r="X23" s="7">
        <v>0</v>
      </c>
      <c r="Y23" s="8">
        <v>3233.05</v>
      </c>
    </row>
    <row r="24" spans="1:25" ht="12.75">
      <c r="A24" s="6" t="s">
        <v>26</v>
      </c>
      <c r="B24" s="7" t="s">
        <v>27</v>
      </c>
      <c r="C24" s="7" t="s">
        <v>28</v>
      </c>
      <c r="D24" s="7" t="s">
        <v>29</v>
      </c>
      <c r="E24" s="7" t="s">
        <v>30</v>
      </c>
      <c r="F24" s="7" t="s">
        <v>31</v>
      </c>
      <c r="G24" s="7">
        <v>2017</v>
      </c>
      <c r="H24" s="7" t="str">
        <f>CONCATENATE("74240861745")</f>
        <v>74240861745</v>
      </c>
      <c r="I24" s="7" t="s">
        <v>32</v>
      </c>
      <c r="J24" s="7" t="s">
        <v>33</v>
      </c>
      <c r="K24" s="7">
        <f>CONCATENATE("")</f>
      </c>
      <c r="L24" s="7" t="str">
        <f>CONCATENATE("11 11.2 4b")</f>
        <v>11 11.2 4b</v>
      </c>
      <c r="M24" s="7" t="str">
        <f>CONCATENATE("FRTFBA66T16I436F")</f>
        <v>FRTFBA66T16I436F</v>
      </c>
      <c r="N24" s="7" t="s">
        <v>67</v>
      </c>
      <c r="O24" s="7" t="s">
        <v>35</v>
      </c>
      <c r="P24" s="7" t="s">
        <v>36</v>
      </c>
      <c r="Q24" s="7" t="s">
        <v>37</v>
      </c>
      <c r="R24" s="7" t="s">
        <v>38</v>
      </c>
      <c r="S24" s="7" t="s">
        <v>39</v>
      </c>
      <c r="T24" s="7"/>
      <c r="U24" s="7">
        <v>5622.71</v>
      </c>
      <c r="V24" s="7">
        <v>2424.51</v>
      </c>
      <c r="W24" s="7">
        <v>2238.96</v>
      </c>
      <c r="X24" s="7">
        <v>0</v>
      </c>
      <c r="Y24" s="8">
        <v>959.24</v>
      </c>
    </row>
    <row r="25" spans="1:25" ht="12.75">
      <c r="A25" s="6" t="s">
        <v>26</v>
      </c>
      <c r="B25" s="7" t="s">
        <v>27</v>
      </c>
      <c r="C25" s="7" t="s">
        <v>28</v>
      </c>
      <c r="D25" s="7" t="s">
        <v>50</v>
      </c>
      <c r="E25" s="7" t="s">
        <v>30</v>
      </c>
      <c r="F25" s="7" t="s">
        <v>68</v>
      </c>
      <c r="G25" s="7">
        <v>2019</v>
      </c>
      <c r="H25" s="7" t="str">
        <f>CONCATENATE("94240248453")</f>
        <v>94240248453</v>
      </c>
      <c r="I25" s="7" t="s">
        <v>32</v>
      </c>
      <c r="J25" s="7" t="s">
        <v>33</v>
      </c>
      <c r="K25" s="7">
        <f>CONCATENATE("")</f>
      </c>
      <c r="L25" s="7" t="str">
        <f>CONCATENATE("11 11.2 4b")</f>
        <v>11 11.2 4b</v>
      </c>
      <c r="M25" s="7" t="str">
        <f>CONCATENATE("CPRGNN24S26L231U")</f>
        <v>CPRGNN24S26L231U</v>
      </c>
      <c r="N25" s="7" t="s">
        <v>69</v>
      </c>
      <c r="O25" s="7" t="s">
        <v>46</v>
      </c>
      <c r="P25" s="7" t="s">
        <v>36</v>
      </c>
      <c r="Q25" s="7" t="s">
        <v>37</v>
      </c>
      <c r="R25" s="7" t="s">
        <v>38</v>
      </c>
      <c r="S25" s="7" t="s">
        <v>39</v>
      </c>
      <c r="T25" s="7"/>
      <c r="U25" s="7">
        <v>92.75</v>
      </c>
      <c r="V25" s="7">
        <v>39.99</v>
      </c>
      <c r="W25" s="7">
        <v>36.93</v>
      </c>
      <c r="X25" s="7">
        <v>0</v>
      </c>
      <c r="Y25" s="8">
        <v>15.83</v>
      </c>
    </row>
    <row r="26" spans="1:25" ht="12.75">
      <c r="A26" s="6" t="s">
        <v>26</v>
      </c>
      <c r="B26" s="7" t="s">
        <v>27</v>
      </c>
      <c r="C26" s="7" t="s">
        <v>28</v>
      </c>
      <c r="D26" s="7" t="s">
        <v>43</v>
      </c>
      <c r="E26" s="7" t="s">
        <v>70</v>
      </c>
      <c r="F26" s="7" t="s">
        <v>71</v>
      </c>
      <c r="G26" s="7">
        <v>2018</v>
      </c>
      <c r="H26" s="7" t="str">
        <f>CONCATENATE("84240583272")</f>
        <v>84240583272</v>
      </c>
      <c r="I26" s="7" t="s">
        <v>32</v>
      </c>
      <c r="J26" s="7" t="s">
        <v>33</v>
      </c>
      <c r="K26" s="7">
        <f>CONCATENATE("")</f>
      </c>
      <c r="L26" s="7" t="str">
        <f>CONCATENATE("11 11.2 4b")</f>
        <v>11 11.2 4b</v>
      </c>
      <c r="M26" s="7" t="str">
        <f>CONCATENATE("SBRLGB65A43Z600R")</f>
        <v>SBRLGB65A43Z600R</v>
      </c>
      <c r="N26" s="7" t="s">
        <v>72</v>
      </c>
      <c r="O26" s="7" t="s">
        <v>46</v>
      </c>
      <c r="P26" s="7" t="s">
        <v>36</v>
      </c>
      <c r="Q26" s="7" t="s">
        <v>37</v>
      </c>
      <c r="R26" s="7" t="s">
        <v>38</v>
      </c>
      <c r="S26" s="7" t="s">
        <v>39</v>
      </c>
      <c r="T26" s="7"/>
      <c r="U26" s="7">
        <v>389.85</v>
      </c>
      <c r="V26" s="7">
        <v>168.1</v>
      </c>
      <c r="W26" s="7">
        <v>155.24</v>
      </c>
      <c r="X26" s="7">
        <v>0</v>
      </c>
      <c r="Y26" s="8">
        <v>66.51</v>
      </c>
    </row>
    <row r="27" spans="1:25" ht="12.75">
      <c r="A27" s="6" t="s">
        <v>26</v>
      </c>
      <c r="B27" s="7" t="s">
        <v>27</v>
      </c>
      <c r="C27" s="7" t="s">
        <v>28</v>
      </c>
      <c r="D27" s="7" t="s">
        <v>43</v>
      </c>
      <c r="E27" s="7" t="s">
        <v>30</v>
      </c>
      <c r="F27" s="7" t="s">
        <v>73</v>
      </c>
      <c r="G27" s="7">
        <v>2018</v>
      </c>
      <c r="H27" s="7" t="str">
        <f>CONCATENATE("84241011794")</f>
        <v>84241011794</v>
      </c>
      <c r="I27" s="7" t="s">
        <v>32</v>
      </c>
      <c r="J27" s="7" t="s">
        <v>33</v>
      </c>
      <c r="K27" s="7">
        <f>CONCATENATE("")</f>
      </c>
      <c r="L27" s="7" t="str">
        <f>CONCATENATE("11 11.2 4b")</f>
        <v>11 11.2 4b</v>
      </c>
      <c r="M27" s="7" t="str">
        <f>CONCATENATE("MNZFRC75P62I608R")</f>
        <v>MNZFRC75P62I608R</v>
      </c>
      <c r="N27" s="7" t="s">
        <v>74</v>
      </c>
      <c r="O27" s="7" t="s">
        <v>46</v>
      </c>
      <c r="P27" s="7" t="s">
        <v>36</v>
      </c>
      <c r="Q27" s="7" t="s">
        <v>37</v>
      </c>
      <c r="R27" s="7" t="s">
        <v>38</v>
      </c>
      <c r="S27" s="7" t="s">
        <v>39</v>
      </c>
      <c r="T27" s="7"/>
      <c r="U27" s="7">
        <v>985.06</v>
      </c>
      <c r="V27" s="7">
        <v>424.76</v>
      </c>
      <c r="W27" s="7">
        <v>392.25</v>
      </c>
      <c r="X27" s="7">
        <v>0</v>
      </c>
      <c r="Y27" s="8">
        <v>168.05</v>
      </c>
    </row>
    <row r="28" spans="1:25" ht="12.75">
      <c r="A28" s="6" t="s">
        <v>26</v>
      </c>
      <c r="B28" s="7" t="s">
        <v>27</v>
      </c>
      <c r="C28" s="7" t="s">
        <v>28</v>
      </c>
      <c r="D28" s="7" t="s">
        <v>50</v>
      </c>
      <c r="E28" s="7" t="s">
        <v>70</v>
      </c>
      <c r="F28" s="7" t="s">
        <v>75</v>
      </c>
      <c r="G28" s="7">
        <v>2019</v>
      </c>
      <c r="H28" s="7" t="str">
        <f>CONCATENATE("94240349582")</f>
        <v>94240349582</v>
      </c>
      <c r="I28" s="7" t="s">
        <v>32</v>
      </c>
      <c r="J28" s="7" t="s">
        <v>33</v>
      </c>
      <c r="K28" s="7">
        <f>CONCATENATE("")</f>
      </c>
      <c r="L28" s="7" t="str">
        <f>CONCATENATE("11 11.2 4b")</f>
        <v>11 11.2 4b</v>
      </c>
      <c r="M28" s="7" t="str">
        <f>CONCATENATE("PLTMTT81D07L500M")</f>
        <v>PLTMTT81D07L500M</v>
      </c>
      <c r="N28" s="7" t="s">
        <v>76</v>
      </c>
      <c r="O28" s="7" t="s">
        <v>46</v>
      </c>
      <c r="P28" s="7" t="s">
        <v>36</v>
      </c>
      <c r="Q28" s="7" t="s">
        <v>37</v>
      </c>
      <c r="R28" s="7" t="s">
        <v>38</v>
      </c>
      <c r="S28" s="7" t="s">
        <v>39</v>
      </c>
      <c r="T28" s="7"/>
      <c r="U28" s="7">
        <v>4900.43</v>
      </c>
      <c r="V28" s="7">
        <v>2113.07</v>
      </c>
      <c r="W28" s="7">
        <v>1951.35</v>
      </c>
      <c r="X28" s="7">
        <v>0</v>
      </c>
      <c r="Y28" s="8">
        <v>836.01</v>
      </c>
    </row>
    <row r="29" spans="1:25" ht="12.75">
      <c r="A29" s="6" t="s">
        <v>26</v>
      </c>
      <c r="B29" s="7" t="s">
        <v>27</v>
      </c>
      <c r="C29" s="7" t="s">
        <v>28</v>
      </c>
      <c r="D29" s="7" t="s">
        <v>50</v>
      </c>
      <c r="E29" s="7" t="s">
        <v>30</v>
      </c>
      <c r="F29" s="7" t="s">
        <v>77</v>
      </c>
      <c r="G29" s="7">
        <v>2019</v>
      </c>
      <c r="H29" s="7" t="str">
        <f>CONCATENATE("94240558257")</f>
        <v>94240558257</v>
      </c>
      <c r="I29" s="7" t="s">
        <v>32</v>
      </c>
      <c r="J29" s="7" t="s">
        <v>33</v>
      </c>
      <c r="K29" s="7">
        <f>CONCATENATE("")</f>
      </c>
      <c r="L29" s="7" t="str">
        <f>CONCATENATE("11 11.2 4b")</f>
        <v>11 11.2 4b</v>
      </c>
      <c r="M29" s="7" t="str">
        <f>CONCATENATE("00414160416")</f>
        <v>00414160416</v>
      </c>
      <c r="N29" s="7" t="s">
        <v>78</v>
      </c>
      <c r="O29" s="7" t="s">
        <v>53</v>
      </c>
      <c r="P29" s="7" t="s">
        <v>36</v>
      </c>
      <c r="Q29" s="7" t="s">
        <v>37</v>
      </c>
      <c r="R29" s="7" t="s">
        <v>38</v>
      </c>
      <c r="S29" s="7" t="s">
        <v>39</v>
      </c>
      <c r="T29" s="7"/>
      <c r="U29" s="7">
        <v>22577.58</v>
      </c>
      <c r="V29" s="7">
        <v>9735.45</v>
      </c>
      <c r="W29" s="7">
        <v>8990.39</v>
      </c>
      <c r="X29" s="7">
        <v>0</v>
      </c>
      <c r="Y29" s="8">
        <v>3851.74</v>
      </c>
    </row>
    <row r="30" spans="1:25" ht="12.75">
      <c r="A30" s="6" t="s">
        <v>26</v>
      </c>
      <c r="B30" s="7" t="s">
        <v>27</v>
      </c>
      <c r="C30" s="7" t="s">
        <v>28</v>
      </c>
      <c r="D30" s="7" t="s">
        <v>50</v>
      </c>
      <c r="E30" s="7" t="s">
        <v>30</v>
      </c>
      <c r="F30" s="7" t="s">
        <v>77</v>
      </c>
      <c r="G30" s="7">
        <v>2018</v>
      </c>
      <c r="H30" s="7" t="str">
        <f>CONCATENATE("84241171234")</f>
        <v>84241171234</v>
      </c>
      <c r="I30" s="7" t="s">
        <v>32</v>
      </c>
      <c r="J30" s="7" t="s">
        <v>33</v>
      </c>
      <c r="K30" s="7">
        <f>CONCATENATE("")</f>
      </c>
      <c r="L30" s="7" t="str">
        <f>CONCATENATE("11 11.2 4b")</f>
        <v>11 11.2 4b</v>
      </c>
      <c r="M30" s="7" t="str">
        <f>CONCATENATE("00414160416")</f>
        <v>00414160416</v>
      </c>
      <c r="N30" s="7" t="s">
        <v>78</v>
      </c>
      <c r="O30" s="7" t="s">
        <v>53</v>
      </c>
      <c r="P30" s="7" t="s">
        <v>36</v>
      </c>
      <c r="Q30" s="7" t="s">
        <v>37</v>
      </c>
      <c r="R30" s="7" t="s">
        <v>38</v>
      </c>
      <c r="S30" s="7" t="s">
        <v>39</v>
      </c>
      <c r="T30" s="7"/>
      <c r="U30" s="7">
        <v>23090.5</v>
      </c>
      <c r="V30" s="7">
        <v>9956.62</v>
      </c>
      <c r="W30" s="7">
        <v>9194.64</v>
      </c>
      <c r="X30" s="7">
        <v>0</v>
      </c>
      <c r="Y30" s="8">
        <v>3939.24</v>
      </c>
    </row>
    <row r="31" spans="1:25" ht="12.75">
      <c r="A31" s="6" t="s">
        <v>26</v>
      </c>
      <c r="B31" s="7" t="s">
        <v>27</v>
      </c>
      <c r="C31" s="7" t="s">
        <v>28</v>
      </c>
      <c r="D31" s="7" t="s">
        <v>50</v>
      </c>
      <c r="E31" s="7" t="s">
        <v>70</v>
      </c>
      <c r="F31" s="7" t="s">
        <v>79</v>
      </c>
      <c r="G31" s="7">
        <v>2019</v>
      </c>
      <c r="H31" s="7" t="str">
        <f>CONCATENATE("94240799414")</f>
        <v>94240799414</v>
      </c>
      <c r="I31" s="7" t="s">
        <v>32</v>
      </c>
      <c r="J31" s="7" t="s">
        <v>33</v>
      </c>
      <c r="K31" s="7">
        <f>CONCATENATE("")</f>
      </c>
      <c r="L31" s="7" t="str">
        <f>CONCATENATE("11 11.2 4b")</f>
        <v>11 11.2 4b</v>
      </c>
      <c r="M31" s="7" t="str">
        <f>CONCATENATE("02559240417")</f>
        <v>02559240417</v>
      </c>
      <c r="N31" s="7" t="s">
        <v>80</v>
      </c>
      <c r="O31" s="7" t="s">
        <v>53</v>
      </c>
      <c r="P31" s="7" t="s">
        <v>36</v>
      </c>
      <c r="Q31" s="7" t="s">
        <v>37</v>
      </c>
      <c r="R31" s="7" t="s">
        <v>38</v>
      </c>
      <c r="S31" s="7" t="s">
        <v>39</v>
      </c>
      <c r="T31" s="7"/>
      <c r="U31" s="7">
        <v>760.98</v>
      </c>
      <c r="V31" s="7">
        <v>328.13</v>
      </c>
      <c r="W31" s="7">
        <v>303.02</v>
      </c>
      <c r="X31" s="7">
        <v>0</v>
      </c>
      <c r="Y31" s="8">
        <v>129.83</v>
      </c>
    </row>
    <row r="32" spans="1:25" ht="12.75">
      <c r="A32" s="6" t="s">
        <v>26</v>
      </c>
      <c r="B32" s="7" t="s">
        <v>27</v>
      </c>
      <c r="C32" s="7" t="s">
        <v>28</v>
      </c>
      <c r="D32" s="7" t="s">
        <v>50</v>
      </c>
      <c r="E32" s="7" t="s">
        <v>70</v>
      </c>
      <c r="F32" s="7" t="s">
        <v>79</v>
      </c>
      <c r="G32" s="7">
        <v>2019</v>
      </c>
      <c r="H32" s="7" t="str">
        <f>CONCATENATE("94240807134")</f>
        <v>94240807134</v>
      </c>
      <c r="I32" s="7" t="s">
        <v>32</v>
      </c>
      <c r="J32" s="7" t="s">
        <v>33</v>
      </c>
      <c r="K32" s="7">
        <f>CONCATENATE("")</f>
      </c>
      <c r="L32" s="7" t="str">
        <f>CONCATENATE("11 11.1 4b")</f>
        <v>11 11.1 4b</v>
      </c>
      <c r="M32" s="7" t="str">
        <f>CONCATENATE("02559240417")</f>
        <v>02559240417</v>
      </c>
      <c r="N32" s="7" t="s">
        <v>80</v>
      </c>
      <c r="O32" s="7" t="s">
        <v>53</v>
      </c>
      <c r="P32" s="7" t="s">
        <v>36</v>
      </c>
      <c r="Q32" s="7" t="s">
        <v>37</v>
      </c>
      <c r="R32" s="7" t="s">
        <v>38</v>
      </c>
      <c r="S32" s="7" t="s">
        <v>39</v>
      </c>
      <c r="T32" s="7"/>
      <c r="U32" s="7">
        <v>56.64</v>
      </c>
      <c r="V32" s="7">
        <v>24.42</v>
      </c>
      <c r="W32" s="7">
        <v>22.55</v>
      </c>
      <c r="X32" s="7">
        <v>0</v>
      </c>
      <c r="Y32" s="8">
        <v>9.67</v>
      </c>
    </row>
    <row r="33" spans="1:25" ht="12.75">
      <c r="A33" s="6" t="s">
        <v>26</v>
      </c>
      <c r="B33" s="7" t="s">
        <v>27</v>
      </c>
      <c r="C33" s="7" t="s">
        <v>28</v>
      </c>
      <c r="D33" s="7" t="s">
        <v>50</v>
      </c>
      <c r="E33" s="7" t="s">
        <v>70</v>
      </c>
      <c r="F33" s="7" t="s">
        <v>79</v>
      </c>
      <c r="G33" s="7">
        <v>2019</v>
      </c>
      <c r="H33" s="7" t="str">
        <f>CONCATENATE("94240807860")</f>
        <v>94240807860</v>
      </c>
      <c r="I33" s="7" t="s">
        <v>32</v>
      </c>
      <c r="J33" s="7" t="s">
        <v>33</v>
      </c>
      <c r="K33" s="7">
        <f>CONCATENATE("")</f>
      </c>
      <c r="L33" s="7" t="str">
        <f>CONCATENATE("11 11.1 4b")</f>
        <v>11 11.1 4b</v>
      </c>
      <c r="M33" s="7" t="str">
        <f>CONCATENATE("02559240417")</f>
        <v>02559240417</v>
      </c>
      <c r="N33" s="7" t="s">
        <v>80</v>
      </c>
      <c r="O33" s="7" t="s">
        <v>53</v>
      </c>
      <c r="P33" s="7" t="s">
        <v>36</v>
      </c>
      <c r="Q33" s="7" t="s">
        <v>37</v>
      </c>
      <c r="R33" s="7" t="s">
        <v>38</v>
      </c>
      <c r="S33" s="7" t="s">
        <v>39</v>
      </c>
      <c r="T33" s="7"/>
      <c r="U33" s="7">
        <v>262.58</v>
      </c>
      <c r="V33" s="7">
        <v>113.22</v>
      </c>
      <c r="W33" s="7">
        <v>104.56</v>
      </c>
      <c r="X33" s="7">
        <v>0</v>
      </c>
      <c r="Y33" s="8">
        <v>44.8</v>
      </c>
    </row>
    <row r="34" spans="1:25" ht="12.75">
      <c r="A34" s="6" t="s">
        <v>26</v>
      </c>
      <c r="B34" s="7" t="s">
        <v>27</v>
      </c>
      <c r="C34" s="7" t="s">
        <v>28</v>
      </c>
      <c r="D34" s="7" t="s">
        <v>50</v>
      </c>
      <c r="E34" s="7" t="s">
        <v>40</v>
      </c>
      <c r="F34" s="7" t="s">
        <v>54</v>
      </c>
      <c r="G34" s="7">
        <v>2019</v>
      </c>
      <c r="H34" s="7" t="str">
        <f>CONCATENATE("94240174113")</f>
        <v>94240174113</v>
      </c>
      <c r="I34" s="7" t="s">
        <v>32</v>
      </c>
      <c r="J34" s="7" t="s">
        <v>33</v>
      </c>
      <c r="K34" s="7">
        <f>CONCATENATE("")</f>
      </c>
      <c r="L34" s="7" t="str">
        <f>CONCATENATE("11 11.1 4b")</f>
        <v>11 11.1 4b</v>
      </c>
      <c r="M34" s="7" t="str">
        <f>CONCATENATE("BTTPLG79E18I459A")</f>
        <v>BTTPLG79E18I459A</v>
      </c>
      <c r="N34" s="7" t="s">
        <v>81</v>
      </c>
      <c r="O34" s="7" t="s">
        <v>53</v>
      </c>
      <c r="P34" s="7" t="s">
        <v>36</v>
      </c>
      <c r="Q34" s="7" t="s">
        <v>37</v>
      </c>
      <c r="R34" s="7" t="s">
        <v>38</v>
      </c>
      <c r="S34" s="7" t="s">
        <v>39</v>
      </c>
      <c r="T34" s="7"/>
      <c r="U34" s="7">
        <v>417.28</v>
      </c>
      <c r="V34" s="7">
        <v>179.93</v>
      </c>
      <c r="W34" s="7">
        <v>166.16</v>
      </c>
      <c r="X34" s="7">
        <v>0</v>
      </c>
      <c r="Y34" s="8">
        <v>71.19</v>
      </c>
    </row>
    <row r="35" spans="1:25" ht="12.75">
      <c r="A35" s="6" t="s">
        <v>26</v>
      </c>
      <c r="B35" s="7" t="s">
        <v>27</v>
      </c>
      <c r="C35" s="7" t="s">
        <v>28</v>
      </c>
      <c r="D35" s="7" t="s">
        <v>50</v>
      </c>
      <c r="E35" s="7" t="s">
        <v>40</v>
      </c>
      <c r="F35" s="7" t="s">
        <v>51</v>
      </c>
      <c r="G35" s="7">
        <v>2019</v>
      </c>
      <c r="H35" s="7" t="str">
        <f>CONCATENATE("94240234958")</f>
        <v>94240234958</v>
      </c>
      <c r="I35" s="7" t="s">
        <v>32</v>
      </c>
      <c r="J35" s="7" t="s">
        <v>33</v>
      </c>
      <c r="K35" s="7">
        <f>CONCATENATE("")</f>
      </c>
      <c r="L35" s="7" t="str">
        <f>CONCATENATE("11 11.1 4b")</f>
        <v>11 11.1 4b</v>
      </c>
      <c r="M35" s="7" t="str">
        <f>CONCATENATE("SRFNDR85C22D488Y")</f>
        <v>SRFNDR85C22D488Y</v>
      </c>
      <c r="N35" s="7" t="s">
        <v>82</v>
      </c>
      <c r="O35" s="7" t="s">
        <v>53</v>
      </c>
      <c r="P35" s="7" t="s">
        <v>36</v>
      </c>
      <c r="Q35" s="7" t="s">
        <v>37</v>
      </c>
      <c r="R35" s="7" t="s">
        <v>38</v>
      </c>
      <c r="S35" s="7" t="s">
        <v>39</v>
      </c>
      <c r="T35" s="7"/>
      <c r="U35" s="7">
        <v>79.32</v>
      </c>
      <c r="V35" s="7">
        <v>34.2</v>
      </c>
      <c r="W35" s="7">
        <v>31.59</v>
      </c>
      <c r="X35" s="7">
        <v>0</v>
      </c>
      <c r="Y35" s="8">
        <v>13.53</v>
      </c>
    </row>
    <row r="36" spans="1:25" ht="12.75">
      <c r="A36" s="6" t="s">
        <v>26</v>
      </c>
      <c r="B36" s="7" t="s">
        <v>27</v>
      </c>
      <c r="C36" s="7" t="s">
        <v>28</v>
      </c>
      <c r="D36" s="7" t="s">
        <v>50</v>
      </c>
      <c r="E36" s="7" t="s">
        <v>70</v>
      </c>
      <c r="F36" s="7" t="s">
        <v>83</v>
      </c>
      <c r="G36" s="7">
        <v>2019</v>
      </c>
      <c r="H36" s="7" t="str">
        <f>CONCATENATE("94241013161")</f>
        <v>94241013161</v>
      </c>
      <c r="I36" s="7" t="s">
        <v>32</v>
      </c>
      <c r="J36" s="7" t="s">
        <v>33</v>
      </c>
      <c r="K36" s="7">
        <f>CONCATENATE("")</f>
      </c>
      <c r="L36" s="7" t="str">
        <f>CONCATENATE("11 11.2 4b")</f>
        <v>11 11.2 4b</v>
      </c>
      <c r="M36" s="7" t="str">
        <f>CONCATENATE("01057570416")</f>
        <v>01057570416</v>
      </c>
      <c r="N36" s="7" t="s">
        <v>84</v>
      </c>
      <c r="O36" s="7" t="s">
        <v>53</v>
      </c>
      <c r="P36" s="7" t="s">
        <v>36</v>
      </c>
      <c r="Q36" s="7" t="s">
        <v>37</v>
      </c>
      <c r="R36" s="7" t="s">
        <v>38</v>
      </c>
      <c r="S36" s="7" t="s">
        <v>39</v>
      </c>
      <c r="T36" s="7"/>
      <c r="U36" s="7">
        <v>13789.13</v>
      </c>
      <c r="V36" s="7">
        <v>5945.87</v>
      </c>
      <c r="W36" s="7">
        <v>5490.83</v>
      </c>
      <c r="X36" s="7">
        <v>0</v>
      </c>
      <c r="Y36" s="8">
        <v>2352.43</v>
      </c>
    </row>
    <row r="37" spans="1:25" ht="12.75">
      <c r="A37" s="6" t="s">
        <v>26</v>
      </c>
      <c r="B37" s="7" t="s">
        <v>27</v>
      </c>
      <c r="C37" s="7" t="s">
        <v>28</v>
      </c>
      <c r="D37" s="7" t="s">
        <v>43</v>
      </c>
      <c r="E37" s="7" t="s">
        <v>58</v>
      </c>
      <c r="F37" s="7" t="s">
        <v>85</v>
      </c>
      <c r="G37" s="7">
        <v>2017</v>
      </c>
      <c r="H37" s="7" t="str">
        <f>CONCATENATE("74241279582")</f>
        <v>74241279582</v>
      </c>
      <c r="I37" s="7" t="s">
        <v>32</v>
      </c>
      <c r="J37" s="7" t="s">
        <v>33</v>
      </c>
      <c r="K37" s="7">
        <f>CONCATENATE("")</f>
      </c>
      <c r="L37" s="7" t="str">
        <f>CONCATENATE("11 11.2 4b")</f>
        <v>11 11.2 4b</v>
      </c>
      <c r="M37" s="7" t="str">
        <f>CONCATENATE("00170290423")</f>
        <v>00170290423</v>
      </c>
      <c r="N37" s="7" t="s">
        <v>86</v>
      </c>
      <c r="O37" s="7" t="s">
        <v>53</v>
      </c>
      <c r="P37" s="7" t="s">
        <v>36</v>
      </c>
      <c r="Q37" s="7" t="s">
        <v>37</v>
      </c>
      <c r="R37" s="7" t="s">
        <v>38</v>
      </c>
      <c r="S37" s="7" t="s">
        <v>39</v>
      </c>
      <c r="T37" s="7"/>
      <c r="U37" s="7">
        <v>24193.23</v>
      </c>
      <c r="V37" s="7">
        <v>10432.12</v>
      </c>
      <c r="W37" s="7">
        <v>9633.74</v>
      </c>
      <c r="X37" s="7">
        <v>0</v>
      </c>
      <c r="Y37" s="8">
        <v>4127.37</v>
      </c>
    </row>
    <row r="38" spans="1:25" ht="12.75">
      <c r="A38" s="6" t="s">
        <v>26</v>
      </c>
      <c r="B38" s="7" t="s">
        <v>27</v>
      </c>
      <c r="C38" s="7" t="s">
        <v>28</v>
      </c>
      <c r="D38" s="7" t="s">
        <v>50</v>
      </c>
      <c r="E38" s="7" t="s">
        <v>70</v>
      </c>
      <c r="F38" s="7" t="s">
        <v>79</v>
      </c>
      <c r="G38" s="7">
        <v>2019</v>
      </c>
      <c r="H38" s="7" t="str">
        <f>CONCATENATE("94240494081")</f>
        <v>94240494081</v>
      </c>
      <c r="I38" s="7" t="s">
        <v>32</v>
      </c>
      <c r="J38" s="7" t="s">
        <v>33</v>
      </c>
      <c r="K38" s="7">
        <f>CONCATENATE("")</f>
      </c>
      <c r="L38" s="7" t="str">
        <f>CONCATENATE("11 11.2 4b")</f>
        <v>11 11.2 4b</v>
      </c>
      <c r="M38" s="7" t="str">
        <f>CONCATENATE("CCCGZN72C20E785T")</f>
        <v>CCCGZN72C20E785T</v>
      </c>
      <c r="N38" s="7" t="s">
        <v>87</v>
      </c>
      <c r="O38" s="7" t="s">
        <v>53</v>
      </c>
      <c r="P38" s="7" t="s">
        <v>36</v>
      </c>
      <c r="Q38" s="7" t="s">
        <v>37</v>
      </c>
      <c r="R38" s="7" t="s">
        <v>38</v>
      </c>
      <c r="S38" s="7" t="s">
        <v>39</v>
      </c>
      <c r="T38" s="7"/>
      <c r="U38" s="7">
        <v>826.01</v>
      </c>
      <c r="V38" s="7">
        <v>356.18</v>
      </c>
      <c r="W38" s="7">
        <v>328.92</v>
      </c>
      <c r="X38" s="7">
        <v>0</v>
      </c>
      <c r="Y38" s="8">
        <v>140.91</v>
      </c>
    </row>
    <row r="39" spans="1:25" ht="12.75">
      <c r="A39" s="6" t="s">
        <v>26</v>
      </c>
      <c r="B39" s="7" t="s">
        <v>27</v>
      </c>
      <c r="C39" s="7" t="s">
        <v>28</v>
      </c>
      <c r="D39" s="7" t="s">
        <v>50</v>
      </c>
      <c r="E39" s="7" t="s">
        <v>40</v>
      </c>
      <c r="F39" s="7" t="s">
        <v>54</v>
      </c>
      <c r="G39" s="7">
        <v>2019</v>
      </c>
      <c r="H39" s="7" t="str">
        <f>CONCATENATE("94240691926")</f>
        <v>94240691926</v>
      </c>
      <c r="I39" s="7" t="s">
        <v>32</v>
      </c>
      <c r="J39" s="7" t="s">
        <v>33</v>
      </c>
      <c r="K39" s="7">
        <f>CONCATENATE("")</f>
      </c>
      <c r="L39" s="7" t="str">
        <f>CONCATENATE("11 11.2 4b")</f>
        <v>11 11.2 4b</v>
      </c>
      <c r="M39" s="7" t="str">
        <f>CONCATENATE("02361800416")</f>
        <v>02361800416</v>
      </c>
      <c r="N39" s="7" t="s">
        <v>88</v>
      </c>
      <c r="O39" s="7" t="s">
        <v>53</v>
      </c>
      <c r="P39" s="7" t="s">
        <v>36</v>
      </c>
      <c r="Q39" s="7" t="s">
        <v>37</v>
      </c>
      <c r="R39" s="7" t="s">
        <v>38</v>
      </c>
      <c r="S39" s="7" t="s">
        <v>39</v>
      </c>
      <c r="T39" s="7"/>
      <c r="U39" s="7">
        <v>7095.33</v>
      </c>
      <c r="V39" s="7">
        <v>3059.51</v>
      </c>
      <c r="W39" s="7">
        <v>2825.36</v>
      </c>
      <c r="X39" s="7">
        <v>0</v>
      </c>
      <c r="Y39" s="8">
        <v>1210.46</v>
      </c>
    </row>
    <row r="40" spans="1:25" ht="12.75">
      <c r="A40" s="6" t="s">
        <v>26</v>
      </c>
      <c r="B40" s="7" t="s">
        <v>27</v>
      </c>
      <c r="C40" s="7" t="s">
        <v>28</v>
      </c>
      <c r="D40" s="7" t="s">
        <v>50</v>
      </c>
      <c r="E40" s="7" t="s">
        <v>30</v>
      </c>
      <c r="F40" s="7" t="s">
        <v>89</v>
      </c>
      <c r="G40" s="7">
        <v>2019</v>
      </c>
      <c r="H40" s="7" t="str">
        <f>CONCATENATE("94240231400")</f>
        <v>94240231400</v>
      </c>
      <c r="I40" s="7" t="s">
        <v>32</v>
      </c>
      <c r="J40" s="7" t="s">
        <v>33</v>
      </c>
      <c r="K40" s="7">
        <f>CONCATENATE("")</f>
      </c>
      <c r="L40" s="7" t="str">
        <f>CONCATENATE("11 11.1 4b")</f>
        <v>11 11.1 4b</v>
      </c>
      <c r="M40" s="7" t="str">
        <f>CONCATENATE("FCCGZL53L67G514C")</f>
        <v>FCCGZL53L67G514C</v>
      </c>
      <c r="N40" s="7" t="s">
        <v>90</v>
      </c>
      <c r="O40" s="7" t="s">
        <v>46</v>
      </c>
      <c r="P40" s="7" t="s">
        <v>36</v>
      </c>
      <c r="Q40" s="7" t="s">
        <v>37</v>
      </c>
      <c r="R40" s="7" t="s">
        <v>38</v>
      </c>
      <c r="S40" s="7" t="s">
        <v>39</v>
      </c>
      <c r="T40" s="7"/>
      <c r="U40" s="7">
        <v>622.05</v>
      </c>
      <c r="V40" s="7">
        <v>268.23</v>
      </c>
      <c r="W40" s="7">
        <v>247.7</v>
      </c>
      <c r="X40" s="7">
        <v>0</v>
      </c>
      <c r="Y40" s="8">
        <v>106.12</v>
      </c>
    </row>
    <row r="41" spans="1:25" ht="12.75">
      <c r="A41" s="6" t="s">
        <v>26</v>
      </c>
      <c r="B41" s="7" t="s">
        <v>27</v>
      </c>
      <c r="C41" s="7" t="s">
        <v>28</v>
      </c>
      <c r="D41" s="7" t="s">
        <v>43</v>
      </c>
      <c r="E41" s="7" t="s">
        <v>70</v>
      </c>
      <c r="F41" s="7" t="s">
        <v>71</v>
      </c>
      <c r="G41" s="7">
        <v>2019</v>
      </c>
      <c r="H41" s="7" t="str">
        <f>CONCATENATE("94240223829")</f>
        <v>94240223829</v>
      </c>
      <c r="I41" s="7" t="s">
        <v>32</v>
      </c>
      <c r="J41" s="7" t="s">
        <v>33</v>
      </c>
      <c r="K41" s="7">
        <f>CONCATENATE("")</f>
      </c>
      <c r="L41" s="7" t="str">
        <f>CONCATENATE("11 11.1 4b")</f>
        <v>11 11.1 4b</v>
      </c>
      <c r="M41" s="7" t="str">
        <f>CONCATENATE("02390910426")</f>
        <v>02390910426</v>
      </c>
      <c r="N41" s="7" t="s">
        <v>91</v>
      </c>
      <c r="O41" s="7" t="s">
        <v>92</v>
      </c>
      <c r="P41" s="7" t="s">
        <v>36</v>
      </c>
      <c r="Q41" s="7" t="s">
        <v>37</v>
      </c>
      <c r="R41" s="7" t="s">
        <v>38</v>
      </c>
      <c r="S41" s="7" t="s">
        <v>39</v>
      </c>
      <c r="T41" s="7"/>
      <c r="U41" s="7">
        <v>1558.41</v>
      </c>
      <c r="V41" s="7">
        <v>671.99</v>
      </c>
      <c r="W41" s="7">
        <v>620.56</v>
      </c>
      <c r="X41" s="7">
        <v>0</v>
      </c>
      <c r="Y41" s="8">
        <v>265.86</v>
      </c>
    </row>
    <row r="42" spans="1:25" ht="12.75">
      <c r="A42" s="6" t="s">
        <v>26</v>
      </c>
      <c r="B42" s="7" t="s">
        <v>27</v>
      </c>
      <c r="C42" s="7" t="s">
        <v>28</v>
      </c>
      <c r="D42" s="7" t="s">
        <v>43</v>
      </c>
      <c r="E42" s="7" t="s">
        <v>40</v>
      </c>
      <c r="F42" s="7" t="s">
        <v>51</v>
      </c>
      <c r="G42" s="7">
        <v>2019</v>
      </c>
      <c r="H42" s="7" t="str">
        <f>CONCATENATE("94240481922")</f>
        <v>94240481922</v>
      </c>
      <c r="I42" s="7" t="s">
        <v>32</v>
      </c>
      <c r="J42" s="7" t="s">
        <v>33</v>
      </c>
      <c r="K42" s="7">
        <f>CONCATENATE("")</f>
      </c>
      <c r="L42" s="7" t="str">
        <f>CONCATENATE("11 11.2 4b")</f>
        <v>11 11.2 4b</v>
      </c>
      <c r="M42" s="7" t="str">
        <f>CONCATENATE("DTTCRD72M28D211Q")</f>
        <v>DTTCRD72M28D211Q</v>
      </c>
      <c r="N42" s="7" t="s">
        <v>93</v>
      </c>
      <c r="O42" s="7" t="s">
        <v>92</v>
      </c>
      <c r="P42" s="7" t="s">
        <v>36</v>
      </c>
      <c r="Q42" s="7" t="s">
        <v>37</v>
      </c>
      <c r="R42" s="7" t="s">
        <v>38</v>
      </c>
      <c r="S42" s="7" t="s">
        <v>39</v>
      </c>
      <c r="T42" s="7"/>
      <c r="U42" s="7">
        <v>69.39</v>
      </c>
      <c r="V42" s="7">
        <v>29.92</v>
      </c>
      <c r="W42" s="7">
        <v>27.63</v>
      </c>
      <c r="X42" s="7">
        <v>0</v>
      </c>
      <c r="Y42" s="8">
        <v>11.84</v>
      </c>
    </row>
    <row r="43" spans="1:25" ht="12.75">
      <c r="A43" s="6" t="s">
        <v>26</v>
      </c>
      <c r="B43" s="7" t="s">
        <v>27</v>
      </c>
      <c r="C43" s="7" t="s">
        <v>28</v>
      </c>
      <c r="D43" s="7" t="s">
        <v>43</v>
      </c>
      <c r="E43" s="7" t="s">
        <v>30</v>
      </c>
      <c r="F43" s="7" t="s">
        <v>73</v>
      </c>
      <c r="G43" s="7">
        <v>2019</v>
      </c>
      <c r="H43" s="7" t="str">
        <f>CONCATENATE("94240476401")</f>
        <v>94240476401</v>
      </c>
      <c r="I43" s="7" t="s">
        <v>32</v>
      </c>
      <c r="J43" s="7" t="s">
        <v>33</v>
      </c>
      <c r="K43" s="7">
        <f>CONCATENATE("")</f>
      </c>
      <c r="L43" s="7" t="str">
        <f>CONCATENATE("11 11.2 4b")</f>
        <v>11 11.2 4b</v>
      </c>
      <c r="M43" s="7" t="str">
        <f>CONCATENATE("MNZFRC75P62I608R")</f>
        <v>MNZFRC75P62I608R</v>
      </c>
      <c r="N43" s="7" t="s">
        <v>74</v>
      </c>
      <c r="O43" s="7" t="s">
        <v>92</v>
      </c>
      <c r="P43" s="7" t="s">
        <v>36</v>
      </c>
      <c r="Q43" s="7" t="s">
        <v>37</v>
      </c>
      <c r="R43" s="7" t="s">
        <v>38</v>
      </c>
      <c r="S43" s="7" t="s">
        <v>39</v>
      </c>
      <c r="T43" s="7"/>
      <c r="U43" s="7">
        <v>885.91</v>
      </c>
      <c r="V43" s="7">
        <v>382</v>
      </c>
      <c r="W43" s="7">
        <v>352.77</v>
      </c>
      <c r="X43" s="7">
        <v>0</v>
      </c>
      <c r="Y43" s="8">
        <v>151.14</v>
      </c>
    </row>
    <row r="44" spans="1:25" ht="12.75">
      <c r="A44" s="6" t="s">
        <v>26</v>
      </c>
      <c r="B44" s="7" t="s">
        <v>27</v>
      </c>
      <c r="C44" s="7" t="s">
        <v>28</v>
      </c>
      <c r="D44" s="7" t="s">
        <v>43</v>
      </c>
      <c r="E44" s="7" t="s">
        <v>58</v>
      </c>
      <c r="F44" s="7" t="s">
        <v>94</v>
      </c>
      <c r="G44" s="7">
        <v>2019</v>
      </c>
      <c r="H44" s="7" t="str">
        <f>CONCATENATE("94240961709")</f>
        <v>94240961709</v>
      </c>
      <c r="I44" s="7" t="s">
        <v>32</v>
      </c>
      <c r="J44" s="7" t="s">
        <v>33</v>
      </c>
      <c r="K44" s="7">
        <f>CONCATENATE("")</f>
      </c>
      <c r="L44" s="7" t="str">
        <f>CONCATENATE("11 11.2 4b")</f>
        <v>11 11.2 4b</v>
      </c>
      <c r="M44" s="7" t="str">
        <f>CONCATENATE("02486570407")</f>
        <v>02486570407</v>
      </c>
      <c r="N44" s="7" t="s">
        <v>95</v>
      </c>
      <c r="O44" s="7" t="s">
        <v>92</v>
      </c>
      <c r="P44" s="7" t="s">
        <v>36</v>
      </c>
      <c r="Q44" s="7" t="s">
        <v>37</v>
      </c>
      <c r="R44" s="7" t="s">
        <v>38</v>
      </c>
      <c r="S44" s="7" t="s">
        <v>39</v>
      </c>
      <c r="T44" s="7"/>
      <c r="U44" s="7">
        <v>10224.51</v>
      </c>
      <c r="V44" s="7">
        <v>4408.81</v>
      </c>
      <c r="W44" s="7">
        <v>4071.4</v>
      </c>
      <c r="X44" s="7">
        <v>0</v>
      </c>
      <c r="Y44" s="8">
        <v>1744.3</v>
      </c>
    </row>
    <row r="45" spans="1:25" ht="12.75">
      <c r="A45" s="6" t="s">
        <v>26</v>
      </c>
      <c r="B45" s="7" t="s">
        <v>27</v>
      </c>
      <c r="C45" s="7" t="s">
        <v>28</v>
      </c>
      <c r="D45" s="7" t="s">
        <v>43</v>
      </c>
      <c r="E45" s="7" t="s">
        <v>70</v>
      </c>
      <c r="F45" s="7" t="s">
        <v>96</v>
      </c>
      <c r="G45" s="7">
        <v>2019</v>
      </c>
      <c r="H45" s="7" t="str">
        <f>CONCATENATE("94241216038")</f>
        <v>94241216038</v>
      </c>
      <c r="I45" s="7" t="s">
        <v>32</v>
      </c>
      <c r="J45" s="7" t="s">
        <v>33</v>
      </c>
      <c r="K45" s="7">
        <f>CONCATENATE("")</f>
      </c>
      <c r="L45" s="7" t="str">
        <f>CONCATENATE("11 11.2 4b")</f>
        <v>11 11.2 4b</v>
      </c>
      <c r="M45" s="7" t="str">
        <f>CONCATENATE("QTTRND32M52H809H")</f>
        <v>QTTRND32M52H809H</v>
      </c>
      <c r="N45" s="7" t="s">
        <v>97</v>
      </c>
      <c r="O45" s="7" t="s">
        <v>92</v>
      </c>
      <c r="P45" s="7" t="s">
        <v>36</v>
      </c>
      <c r="Q45" s="7" t="s">
        <v>37</v>
      </c>
      <c r="R45" s="7" t="s">
        <v>38</v>
      </c>
      <c r="S45" s="7" t="s">
        <v>39</v>
      </c>
      <c r="T45" s="7"/>
      <c r="U45" s="7">
        <v>4629.68</v>
      </c>
      <c r="V45" s="7">
        <v>1996.32</v>
      </c>
      <c r="W45" s="7">
        <v>1843.54</v>
      </c>
      <c r="X45" s="7">
        <v>0</v>
      </c>
      <c r="Y45" s="8">
        <v>789.82</v>
      </c>
    </row>
    <row r="46" spans="1:25" ht="12.75">
      <c r="A46" s="6" t="s">
        <v>26</v>
      </c>
      <c r="B46" s="7" t="s">
        <v>27</v>
      </c>
      <c r="C46" s="7" t="s">
        <v>28</v>
      </c>
      <c r="D46" s="7" t="s">
        <v>50</v>
      </c>
      <c r="E46" s="7" t="s">
        <v>40</v>
      </c>
      <c r="F46" s="7" t="s">
        <v>54</v>
      </c>
      <c r="G46" s="7">
        <v>2019</v>
      </c>
      <c r="H46" s="7" t="str">
        <f>CONCATENATE("94240521743")</f>
        <v>94240521743</v>
      </c>
      <c r="I46" s="7" t="s">
        <v>32</v>
      </c>
      <c r="J46" s="7" t="s">
        <v>33</v>
      </c>
      <c r="K46" s="7">
        <f>CONCATENATE("")</f>
      </c>
      <c r="L46" s="7" t="str">
        <f>CONCATENATE("11 11.2 4b")</f>
        <v>11 11.2 4b</v>
      </c>
      <c r="M46" s="7" t="str">
        <f>CONCATENATE("BRSMNN82R51C357J")</f>
        <v>BRSMNN82R51C357J</v>
      </c>
      <c r="N46" s="7" t="s">
        <v>98</v>
      </c>
      <c r="O46" s="7" t="s">
        <v>99</v>
      </c>
      <c r="P46" s="7" t="s">
        <v>36</v>
      </c>
      <c r="Q46" s="7" t="s">
        <v>37</v>
      </c>
      <c r="R46" s="7" t="s">
        <v>38</v>
      </c>
      <c r="S46" s="7" t="s">
        <v>39</v>
      </c>
      <c r="T46" s="7"/>
      <c r="U46" s="7">
        <v>156.92</v>
      </c>
      <c r="V46" s="7">
        <v>67.66</v>
      </c>
      <c r="W46" s="7">
        <v>62.49</v>
      </c>
      <c r="X46" s="7">
        <v>0</v>
      </c>
      <c r="Y46" s="8">
        <v>26.77</v>
      </c>
    </row>
    <row r="47" spans="1:25" ht="12.75">
      <c r="A47" s="6" t="s">
        <v>26</v>
      </c>
      <c r="B47" s="7" t="s">
        <v>27</v>
      </c>
      <c r="C47" s="7" t="s">
        <v>28</v>
      </c>
      <c r="D47" s="7" t="s">
        <v>29</v>
      </c>
      <c r="E47" s="7" t="s">
        <v>30</v>
      </c>
      <c r="F47" s="7" t="s">
        <v>31</v>
      </c>
      <c r="G47" s="7">
        <v>2019</v>
      </c>
      <c r="H47" s="7" t="str">
        <f>CONCATENATE("94240787989")</f>
        <v>94240787989</v>
      </c>
      <c r="I47" s="7" t="s">
        <v>32</v>
      </c>
      <c r="J47" s="7" t="s">
        <v>33</v>
      </c>
      <c r="K47" s="7">
        <f>CONCATENATE("")</f>
      </c>
      <c r="L47" s="7" t="str">
        <f>CONCATENATE("11 11.2 4b")</f>
        <v>11 11.2 4b</v>
      </c>
      <c r="M47" s="7" t="str">
        <f>CONCATENATE("FTTLSU42L54I436X")</f>
        <v>FTTLSU42L54I436X</v>
      </c>
      <c r="N47" s="7" t="s">
        <v>100</v>
      </c>
      <c r="O47" s="7" t="s">
        <v>35</v>
      </c>
      <c r="P47" s="7" t="s">
        <v>36</v>
      </c>
      <c r="Q47" s="7" t="s">
        <v>37</v>
      </c>
      <c r="R47" s="7" t="s">
        <v>38</v>
      </c>
      <c r="S47" s="7" t="s">
        <v>39</v>
      </c>
      <c r="T47" s="7"/>
      <c r="U47" s="7">
        <v>4126</v>
      </c>
      <c r="V47" s="7">
        <v>1779.13</v>
      </c>
      <c r="W47" s="7">
        <v>1642.97</v>
      </c>
      <c r="X47" s="7">
        <v>0</v>
      </c>
      <c r="Y47" s="8">
        <v>703.9</v>
      </c>
    </row>
    <row r="48" spans="1:25" ht="12.75">
      <c r="A48" s="6" t="s">
        <v>26</v>
      </c>
      <c r="B48" s="7" t="s">
        <v>27</v>
      </c>
      <c r="C48" s="7" t="s">
        <v>28</v>
      </c>
      <c r="D48" s="7" t="s">
        <v>29</v>
      </c>
      <c r="E48" s="7" t="s">
        <v>30</v>
      </c>
      <c r="F48" s="7" t="s">
        <v>31</v>
      </c>
      <c r="G48" s="7">
        <v>2018</v>
      </c>
      <c r="H48" s="7" t="str">
        <f>CONCATENATE("84240997928")</f>
        <v>84240997928</v>
      </c>
      <c r="I48" s="7" t="s">
        <v>32</v>
      </c>
      <c r="J48" s="7" t="s">
        <v>33</v>
      </c>
      <c r="K48" s="7">
        <f>CONCATENATE("")</f>
      </c>
      <c r="L48" s="7" t="str">
        <f>CONCATENATE("11 11.2 4b")</f>
        <v>11 11.2 4b</v>
      </c>
      <c r="M48" s="7" t="str">
        <f>CONCATENATE("FTTLSU42L54I436X")</f>
        <v>FTTLSU42L54I436X</v>
      </c>
      <c r="N48" s="7" t="s">
        <v>100</v>
      </c>
      <c r="O48" s="7" t="s">
        <v>35</v>
      </c>
      <c r="P48" s="7" t="s">
        <v>36</v>
      </c>
      <c r="Q48" s="7" t="s">
        <v>37</v>
      </c>
      <c r="R48" s="7" t="s">
        <v>38</v>
      </c>
      <c r="S48" s="7" t="s">
        <v>39</v>
      </c>
      <c r="T48" s="7"/>
      <c r="U48" s="7">
        <v>4775.37</v>
      </c>
      <c r="V48" s="7">
        <v>2059.14</v>
      </c>
      <c r="W48" s="7">
        <v>1901.55</v>
      </c>
      <c r="X48" s="7">
        <v>0</v>
      </c>
      <c r="Y48" s="8">
        <v>814.68</v>
      </c>
    </row>
    <row r="49" spans="1:25" ht="12.75">
      <c r="A49" s="6" t="s">
        <v>26</v>
      </c>
      <c r="B49" s="7" t="s">
        <v>27</v>
      </c>
      <c r="C49" s="7" t="s">
        <v>28</v>
      </c>
      <c r="D49" s="7" t="s">
        <v>29</v>
      </c>
      <c r="E49" s="7" t="s">
        <v>30</v>
      </c>
      <c r="F49" s="7" t="s">
        <v>31</v>
      </c>
      <c r="G49" s="7">
        <v>2018</v>
      </c>
      <c r="H49" s="7" t="str">
        <f>CONCATENATE("84241000557")</f>
        <v>84241000557</v>
      </c>
      <c r="I49" s="7" t="s">
        <v>32</v>
      </c>
      <c r="J49" s="7" t="s">
        <v>33</v>
      </c>
      <c r="K49" s="7">
        <f>CONCATENATE("")</f>
      </c>
      <c r="L49" s="7" t="str">
        <f>CONCATENATE("11 11.2 4b")</f>
        <v>11 11.2 4b</v>
      </c>
      <c r="M49" s="7" t="str">
        <f>CONCATENATE("FRTFBA66T16I436F")</f>
        <v>FRTFBA66T16I436F</v>
      </c>
      <c r="N49" s="7" t="s">
        <v>67</v>
      </c>
      <c r="O49" s="7" t="s">
        <v>35</v>
      </c>
      <c r="P49" s="7" t="s">
        <v>36</v>
      </c>
      <c r="Q49" s="7" t="s">
        <v>37</v>
      </c>
      <c r="R49" s="7" t="s">
        <v>38</v>
      </c>
      <c r="S49" s="7" t="s">
        <v>39</v>
      </c>
      <c r="T49" s="7"/>
      <c r="U49" s="7">
        <v>6573.41</v>
      </c>
      <c r="V49" s="7">
        <v>2834.45</v>
      </c>
      <c r="W49" s="7">
        <v>2617.53</v>
      </c>
      <c r="X49" s="7">
        <v>0</v>
      </c>
      <c r="Y49" s="8">
        <v>1121.43</v>
      </c>
    </row>
    <row r="50" spans="1:25" ht="12.75">
      <c r="A50" s="6" t="s">
        <v>26</v>
      </c>
      <c r="B50" s="7" t="s">
        <v>27</v>
      </c>
      <c r="C50" s="7" t="s">
        <v>28</v>
      </c>
      <c r="D50" s="7" t="s">
        <v>29</v>
      </c>
      <c r="E50" s="7" t="s">
        <v>30</v>
      </c>
      <c r="F50" s="7" t="s">
        <v>31</v>
      </c>
      <c r="G50" s="7">
        <v>2019</v>
      </c>
      <c r="H50" s="7" t="str">
        <f>CONCATENATE("94240747082")</f>
        <v>94240747082</v>
      </c>
      <c r="I50" s="7" t="s">
        <v>32</v>
      </c>
      <c r="J50" s="7" t="s">
        <v>33</v>
      </c>
      <c r="K50" s="7">
        <f>CONCATENATE("")</f>
      </c>
      <c r="L50" s="7" t="str">
        <f>CONCATENATE("11 11.2 4b")</f>
        <v>11 11.2 4b</v>
      </c>
      <c r="M50" s="7" t="str">
        <f>CONCATENATE("FRTFBA66T16I436F")</f>
        <v>FRTFBA66T16I436F</v>
      </c>
      <c r="N50" s="7" t="s">
        <v>67</v>
      </c>
      <c r="O50" s="7" t="s">
        <v>35</v>
      </c>
      <c r="P50" s="7" t="s">
        <v>36</v>
      </c>
      <c r="Q50" s="7" t="s">
        <v>37</v>
      </c>
      <c r="R50" s="7" t="s">
        <v>38</v>
      </c>
      <c r="S50" s="7" t="s">
        <v>39</v>
      </c>
      <c r="T50" s="7"/>
      <c r="U50" s="7">
        <v>6502.92</v>
      </c>
      <c r="V50" s="7">
        <v>2804.06</v>
      </c>
      <c r="W50" s="7">
        <v>2589.46</v>
      </c>
      <c r="X50" s="7">
        <v>0</v>
      </c>
      <c r="Y50" s="8">
        <v>1109.4</v>
      </c>
    </row>
    <row r="51" spans="1:25" ht="12.75">
      <c r="A51" s="6" t="s">
        <v>26</v>
      </c>
      <c r="B51" s="7" t="s">
        <v>27</v>
      </c>
      <c r="C51" s="7" t="s">
        <v>28</v>
      </c>
      <c r="D51" s="7" t="s">
        <v>50</v>
      </c>
      <c r="E51" s="7" t="s">
        <v>70</v>
      </c>
      <c r="F51" s="7" t="s">
        <v>101</v>
      </c>
      <c r="G51" s="7">
        <v>2019</v>
      </c>
      <c r="H51" s="7" t="str">
        <f>CONCATENATE("94240167554")</f>
        <v>94240167554</v>
      </c>
      <c r="I51" s="7" t="s">
        <v>32</v>
      </c>
      <c r="J51" s="7" t="s">
        <v>33</v>
      </c>
      <c r="K51" s="7">
        <f>CONCATENATE("")</f>
      </c>
      <c r="L51" s="7" t="str">
        <f>CONCATENATE("11 11.1 4b")</f>
        <v>11 11.1 4b</v>
      </c>
      <c r="M51" s="7" t="str">
        <f>CONCATENATE("RSSLTT56A66F581T")</f>
        <v>RSSLTT56A66F581T</v>
      </c>
      <c r="N51" s="7" t="s">
        <v>102</v>
      </c>
      <c r="O51" s="7" t="s">
        <v>53</v>
      </c>
      <c r="P51" s="7" t="s">
        <v>36</v>
      </c>
      <c r="Q51" s="7" t="s">
        <v>37</v>
      </c>
      <c r="R51" s="7" t="s">
        <v>38</v>
      </c>
      <c r="S51" s="7" t="s">
        <v>39</v>
      </c>
      <c r="T51" s="7"/>
      <c r="U51" s="7">
        <v>706.52</v>
      </c>
      <c r="V51" s="7">
        <v>304.65</v>
      </c>
      <c r="W51" s="7">
        <v>281.34</v>
      </c>
      <c r="X51" s="7">
        <v>0</v>
      </c>
      <c r="Y51" s="8">
        <v>120.53</v>
      </c>
    </row>
    <row r="52" spans="1:25" ht="12.75">
      <c r="A52" s="6" t="s">
        <v>26</v>
      </c>
      <c r="B52" s="7" t="s">
        <v>27</v>
      </c>
      <c r="C52" s="7" t="s">
        <v>28</v>
      </c>
      <c r="D52" s="7" t="s">
        <v>50</v>
      </c>
      <c r="E52" s="7" t="s">
        <v>40</v>
      </c>
      <c r="F52" s="7" t="s">
        <v>54</v>
      </c>
      <c r="G52" s="7">
        <v>2019</v>
      </c>
      <c r="H52" s="7" t="str">
        <f>CONCATENATE("94240526007")</f>
        <v>94240526007</v>
      </c>
      <c r="I52" s="7" t="s">
        <v>32</v>
      </c>
      <c r="J52" s="7" t="s">
        <v>33</v>
      </c>
      <c r="K52" s="7">
        <f>CONCATENATE("")</f>
      </c>
      <c r="L52" s="7" t="str">
        <f>CONCATENATE("11 11.2 4b")</f>
        <v>11 11.2 4b</v>
      </c>
      <c r="M52" s="7" t="str">
        <f>CONCATENATE("01383860416")</f>
        <v>01383860416</v>
      </c>
      <c r="N52" s="7" t="s">
        <v>103</v>
      </c>
      <c r="O52" s="7" t="s">
        <v>53</v>
      </c>
      <c r="P52" s="7" t="s">
        <v>36</v>
      </c>
      <c r="Q52" s="7" t="s">
        <v>37</v>
      </c>
      <c r="R52" s="7" t="s">
        <v>38</v>
      </c>
      <c r="S52" s="7" t="s">
        <v>39</v>
      </c>
      <c r="T52" s="7"/>
      <c r="U52" s="7">
        <v>1424.41</v>
      </c>
      <c r="V52" s="7">
        <v>614.21</v>
      </c>
      <c r="W52" s="7">
        <v>567.2</v>
      </c>
      <c r="X52" s="7">
        <v>0</v>
      </c>
      <c r="Y52" s="8">
        <v>243</v>
      </c>
    </row>
    <row r="53" spans="1:25" ht="12.75">
      <c r="A53" s="6" t="s">
        <v>26</v>
      </c>
      <c r="B53" s="7" t="s">
        <v>27</v>
      </c>
      <c r="C53" s="7" t="s">
        <v>28</v>
      </c>
      <c r="D53" s="7" t="s">
        <v>50</v>
      </c>
      <c r="E53" s="7" t="s">
        <v>30</v>
      </c>
      <c r="F53" s="7" t="s">
        <v>104</v>
      </c>
      <c r="G53" s="7">
        <v>2018</v>
      </c>
      <c r="H53" s="7" t="str">
        <f>CONCATENATE("84240730105")</f>
        <v>84240730105</v>
      </c>
      <c r="I53" s="7" t="s">
        <v>32</v>
      </c>
      <c r="J53" s="7" t="s">
        <v>33</v>
      </c>
      <c r="K53" s="7">
        <f>CONCATENATE("")</f>
      </c>
      <c r="L53" s="7" t="str">
        <f>CONCATENATE("11 11.2 4b")</f>
        <v>11 11.2 4b</v>
      </c>
      <c r="M53" s="7" t="str">
        <f>CONCATENATE("LNESFN65P30L498P")</f>
        <v>LNESFN65P30L498P</v>
      </c>
      <c r="N53" s="7" t="s">
        <v>105</v>
      </c>
      <c r="O53" s="7" t="s">
        <v>53</v>
      </c>
      <c r="P53" s="7" t="s">
        <v>36</v>
      </c>
      <c r="Q53" s="7" t="s">
        <v>37</v>
      </c>
      <c r="R53" s="7" t="s">
        <v>38</v>
      </c>
      <c r="S53" s="7" t="s">
        <v>39</v>
      </c>
      <c r="T53" s="7"/>
      <c r="U53" s="7">
        <v>4152.82</v>
      </c>
      <c r="V53" s="7">
        <v>1790.7</v>
      </c>
      <c r="W53" s="7">
        <v>1653.65</v>
      </c>
      <c r="X53" s="7">
        <v>0</v>
      </c>
      <c r="Y53" s="8">
        <v>708.47</v>
      </c>
    </row>
    <row r="54" spans="1:25" ht="12.75">
      <c r="A54" s="6" t="s">
        <v>26</v>
      </c>
      <c r="B54" s="7" t="s">
        <v>27</v>
      </c>
      <c r="C54" s="7" t="s">
        <v>28</v>
      </c>
      <c r="D54" s="7" t="s">
        <v>50</v>
      </c>
      <c r="E54" s="7" t="s">
        <v>40</v>
      </c>
      <c r="F54" s="7" t="s">
        <v>54</v>
      </c>
      <c r="G54" s="7">
        <v>2019</v>
      </c>
      <c r="H54" s="7" t="str">
        <f>CONCATENATE("94240585896")</f>
        <v>94240585896</v>
      </c>
      <c r="I54" s="7" t="s">
        <v>32</v>
      </c>
      <c r="J54" s="7" t="s">
        <v>33</v>
      </c>
      <c r="K54" s="7">
        <f>CONCATENATE("")</f>
      </c>
      <c r="L54" s="7" t="str">
        <f>CONCATENATE("11 11.2 4b")</f>
        <v>11 11.2 4b</v>
      </c>
      <c r="M54" s="7" t="str">
        <f>CONCATENATE("00449670413")</f>
        <v>00449670413</v>
      </c>
      <c r="N54" s="7" t="s">
        <v>106</v>
      </c>
      <c r="O54" s="7" t="s">
        <v>53</v>
      </c>
      <c r="P54" s="7" t="s">
        <v>36</v>
      </c>
      <c r="Q54" s="7" t="s">
        <v>37</v>
      </c>
      <c r="R54" s="7" t="s">
        <v>38</v>
      </c>
      <c r="S54" s="7" t="s">
        <v>39</v>
      </c>
      <c r="T54" s="7"/>
      <c r="U54" s="7">
        <v>9523.19</v>
      </c>
      <c r="V54" s="7">
        <v>4106.4</v>
      </c>
      <c r="W54" s="7">
        <v>3792.13</v>
      </c>
      <c r="X54" s="7">
        <v>0</v>
      </c>
      <c r="Y54" s="8">
        <v>1624.66</v>
      </c>
    </row>
    <row r="55" spans="1:25" ht="12.75">
      <c r="A55" s="6" t="s">
        <v>26</v>
      </c>
      <c r="B55" s="7" t="s">
        <v>27</v>
      </c>
      <c r="C55" s="7" t="s">
        <v>28</v>
      </c>
      <c r="D55" s="7" t="s">
        <v>29</v>
      </c>
      <c r="E55" s="7" t="s">
        <v>40</v>
      </c>
      <c r="F55" s="7" t="s">
        <v>107</v>
      </c>
      <c r="G55" s="7">
        <v>2019</v>
      </c>
      <c r="H55" s="7" t="str">
        <f>CONCATENATE("94241119158")</f>
        <v>94241119158</v>
      </c>
      <c r="I55" s="7" t="s">
        <v>32</v>
      </c>
      <c r="J55" s="7" t="s">
        <v>33</v>
      </c>
      <c r="K55" s="7">
        <f>CONCATENATE("")</f>
      </c>
      <c r="L55" s="7" t="str">
        <f>CONCATENATE("11 11.1 4b")</f>
        <v>11 11.1 4b</v>
      </c>
      <c r="M55" s="7" t="str">
        <f>CONCATENATE("FRRFBA70A16I156B")</f>
        <v>FRRFBA70A16I156B</v>
      </c>
      <c r="N55" s="7" t="s">
        <v>108</v>
      </c>
      <c r="O55" s="7" t="s">
        <v>35</v>
      </c>
      <c r="P55" s="7" t="s">
        <v>36</v>
      </c>
      <c r="Q55" s="7" t="s">
        <v>37</v>
      </c>
      <c r="R55" s="7" t="s">
        <v>38</v>
      </c>
      <c r="S55" s="7" t="s">
        <v>39</v>
      </c>
      <c r="T55" s="7"/>
      <c r="U55" s="7">
        <v>291.29</v>
      </c>
      <c r="V55" s="7">
        <v>125.6</v>
      </c>
      <c r="W55" s="7">
        <v>115.99</v>
      </c>
      <c r="X55" s="7">
        <v>0</v>
      </c>
      <c r="Y55" s="8">
        <v>49.7</v>
      </c>
    </row>
    <row r="56" spans="1:25" ht="12.75">
      <c r="A56" s="6" t="s">
        <v>26</v>
      </c>
      <c r="B56" s="7" t="s">
        <v>27</v>
      </c>
      <c r="C56" s="7" t="s">
        <v>28</v>
      </c>
      <c r="D56" s="7" t="s">
        <v>50</v>
      </c>
      <c r="E56" s="7" t="s">
        <v>109</v>
      </c>
      <c r="F56" s="7" t="s">
        <v>110</v>
      </c>
      <c r="G56" s="7">
        <v>2019</v>
      </c>
      <c r="H56" s="7" t="str">
        <f>CONCATENATE("94241166449")</f>
        <v>94241166449</v>
      </c>
      <c r="I56" s="7" t="s">
        <v>32</v>
      </c>
      <c r="J56" s="7" t="s">
        <v>33</v>
      </c>
      <c r="K56" s="7">
        <f>CONCATENATE("")</f>
      </c>
      <c r="L56" s="7" t="str">
        <f>CONCATENATE("11 11.2 4b")</f>
        <v>11 11.2 4b</v>
      </c>
      <c r="M56" s="7" t="str">
        <f>CONCATENATE("BRCFRC73D43G479O")</f>
        <v>BRCFRC73D43G479O</v>
      </c>
      <c r="N56" s="7" t="s">
        <v>111</v>
      </c>
      <c r="O56" s="7" t="s">
        <v>53</v>
      </c>
      <c r="P56" s="7" t="s">
        <v>36</v>
      </c>
      <c r="Q56" s="7" t="s">
        <v>37</v>
      </c>
      <c r="R56" s="7" t="s">
        <v>38</v>
      </c>
      <c r="S56" s="7" t="s">
        <v>39</v>
      </c>
      <c r="T56" s="7"/>
      <c r="U56" s="7">
        <v>190.35</v>
      </c>
      <c r="V56" s="7">
        <v>82.08</v>
      </c>
      <c r="W56" s="7">
        <v>75.8</v>
      </c>
      <c r="X56" s="7">
        <v>0</v>
      </c>
      <c r="Y56" s="8">
        <v>32.47</v>
      </c>
    </row>
    <row r="57" spans="1:25" ht="12.75">
      <c r="A57" s="6" t="s">
        <v>26</v>
      </c>
      <c r="B57" s="7" t="s">
        <v>27</v>
      </c>
      <c r="C57" s="7" t="s">
        <v>28</v>
      </c>
      <c r="D57" s="7" t="s">
        <v>50</v>
      </c>
      <c r="E57" s="7" t="s">
        <v>70</v>
      </c>
      <c r="F57" s="7" t="s">
        <v>112</v>
      </c>
      <c r="G57" s="7">
        <v>2019</v>
      </c>
      <c r="H57" s="7" t="str">
        <f>CONCATENATE("94240065048")</f>
        <v>94240065048</v>
      </c>
      <c r="I57" s="7" t="s">
        <v>32</v>
      </c>
      <c r="J57" s="7" t="s">
        <v>33</v>
      </c>
      <c r="K57" s="7">
        <f>CONCATENATE("")</f>
      </c>
      <c r="L57" s="7" t="str">
        <f>CONCATENATE("11 11.2 4b")</f>
        <v>11 11.2 4b</v>
      </c>
      <c r="M57" s="7" t="str">
        <f>CONCATENATE("LNESFN65P30L498P")</f>
        <v>LNESFN65P30L498P</v>
      </c>
      <c r="N57" s="7" t="s">
        <v>105</v>
      </c>
      <c r="O57" s="7" t="s">
        <v>53</v>
      </c>
      <c r="P57" s="7" t="s">
        <v>36</v>
      </c>
      <c r="Q57" s="7" t="s">
        <v>37</v>
      </c>
      <c r="R57" s="7" t="s">
        <v>38</v>
      </c>
      <c r="S57" s="7" t="s">
        <v>39</v>
      </c>
      <c r="T57" s="7"/>
      <c r="U57" s="7">
        <v>4102.5</v>
      </c>
      <c r="V57" s="7">
        <v>1769</v>
      </c>
      <c r="W57" s="7">
        <v>1633.62</v>
      </c>
      <c r="X57" s="7">
        <v>0</v>
      </c>
      <c r="Y57" s="8">
        <v>699.88</v>
      </c>
    </row>
    <row r="58" spans="1:25" ht="12.75">
      <c r="A58" s="6" t="s">
        <v>26</v>
      </c>
      <c r="B58" s="7" t="s">
        <v>27</v>
      </c>
      <c r="C58" s="7" t="s">
        <v>28</v>
      </c>
      <c r="D58" s="7" t="s">
        <v>50</v>
      </c>
      <c r="E58" s="7" t="s">
        <v>40</v>
      </c>
      <c r="F58" s="7" t="s">
        <v>54</v>
      </c>
      <c r="G58" s="7">
        <v>2019</v>
      </c>
      <c r="H58" s="7" t="str">
        <f>CONCATENATE("94240880602")</f>
        <v>94240880602</v>
      </c>
      <c r="I58" s="7" t="s">
        <v>32</v>
      </c>
      <c r="J58" s="7" t="s">
        <v>33</v>
      </c>
      <c r="K58" s="7">
        <f>CONCATENATE("")</f>
      </c>
      <c r="L58" s="7" t="str">
        <f>CONCATENATE("11 11.2 4b")</f>
        <v>11 11.2 4b</v>
      </c>
      <c r="M58" s="7" t="str">
        <f>CONCATENATE("01065340414")</f>
        <v>01065340414</v>
      </c>
      <c r="N58" s="7" t="s">
        <v>113</v>
      </c>
      <c r="O58" s="7" t="s">
        <v>53</v>
      </c>
      <c r="P58" s="7" t="s">
        <v>36</v>
      </c>
      <c r="Q58" s="7" t="s">
        <v>37</v>
      </c>
      <c r="R58" s="7" t="s">
        <v>38</v>
      </c>
      <c r="S58" s="7" t="s">
        <v>39</v>
      </c>
      <c r="T58" s="7"/>
      <c r="U58" s="7">
        <v>1477.69</v>
      </c>
      <c r="V58" s="7">
        <v>637.18</v>
      </c>
      <c r="W58" s="7">
        <v>588.42</v>
      </c>
      <c r="X58" s="7">
        <v>0</v>
      </c>
      <c r="Y58" s="8">
        <v>252.09</v>
      </c>
    </row>
    <row r="59" spans="1:25" ht="12.75">
      <c r="A59" s="6" t="s">
        <v>26</v>
      </c>
      <c r="B59" s="7" t="s">
        <v>27</v>
      </c>
      <c r="C59" s="7" t="s">
        <v>28</v>
      </c>
      <c r="D59" s="7" t="s">
        <v>29</v>
      </c>
      <c r="E59" s="7" t="s">
        <v>40</v>
      </c>
      <c r="F59" s="7" t="s">
        <v>41</v>
      </c>
      <c r="G59" s="7">
        <v>2019</v>
      </c>
      <c r="H59" s="7" t="str">
        <f>CONCATENATE("94240869423")</f>
        <v>94240869423</v>
      </c>
      <c r="I59" s="7" t="s">
        <v>32</v>
      </c>
      <c r="J59" s="7" t="s">
        <v>33</v>
      </c>
      <c r="K59" s="7">
        <f>CONCATENATE("")</f>
      </c>
      <c r="L59" s="7" t="str">
        <f>CONCATENATE("11 11.2 4b")</f>
        <v>11 11.2 4b</v>
      </c>
      <c r="M59" s="7" t="str">
        <f>CONCATENATE("01089250433")</f>
        <v>01089250433</v>
      </c>
      <c r="N59" s="7" t="s">
        <v>114</v>
      </c>
      <c r="O59" s="7" t="s">
        <v>35</v>
      </c>
      <c r="P59" s="7" t="s">
        <v>36</v>
      </c>
      <c r="Q59" s="7" t="s">
        <v>37</v>
      </c>
      <c r="R59" s="7" t="s">
        <v>38</v>
      </c>
      <c r="S59" s="7" t="s">
        <v>39</v>
      </c>
      <c r="T59" s="7"/>
      <c r="U59" s="7">
        <v>3784.07</v>
      </c>
      <c r="V59" s="7">
        <v>1631.69</v>
      </c>
      <c r="W59" s="7">
        <v>1506.82</v>
      </c>
      <c r="X59" s="7">
        <v>0</v>
      </c>
      <c r="Y59" s="8">
        <v>645.56</v>
      </c>
    </row>
    <row r="60" spans="1:25" ht="12.75">
      <c r="A60" s="6" t="s">
        <v>26</v>
      </c>
      <c r="B60" s="7" t="s">
        <v>27</v>
      </c>
      <c r="C60" s="7" t="s">
        <v>28</v>
      </c>
      <c r="D60" s="7" t="s">
        <v>50</v>
      </c>
      <c r="E60" s="7" t="s">
        <v>40</v>
      </c>
      <c r="F60" s="7" t="s">
        <v>54</v>
      </c>
      <c r="G60" s="7">
        <v>2019</v>
      </c>
      <c r="H60" s="7" t="str">
        <f>CONCATENATE("94240718489")</f>
        <v>94240718489</v>
      </c>
      <c r="I60" s="7" t="s">
        <v>32</v>
      </c>
      <c r="J60" s="7" t="s">
        <v>33</v>
      </c>
      <c r="K60" s="7">
        <f>CONCATENATE("")</f>
      </c>
      <c r="L60" s="7" t="str">
        <f>CONCATENATE("11 11.2 4b")</f>
        <v>11 11.2 4b</v>
      </c>
      <c r="M60" s="7" t="str">
        <f>CONCATENATE("02453800415")</f>
        <v>02453800415</v>
      </c>
      <c r="N60" s="7" t="s">
        <v>115</v>
      </c>
      <c r="O60" s="7" t="s">
        <v>53</v>
      </c>
      <c r="P60" s="7" t="s">
        <v>36</v>
      </c>
      <c r="Q60" s="7" t="s">
        <v>37</v>
      </c>
      <c r="R60" s="7" t="s">
        <v>38</v>
      </c>
      <c r="S60" s="7" t="s">
        <v>39</v>
      </c>
      <c r="T60" s="7"/>
      <c r="U60" s="7">
        <v>331.62</v>
      </c>
      <c r="V60" s="7">
        <v>142.99</v>
      </c>
      <c r="W60" s="7">
        <v>132.05</v>
      </c>
      <c r="X60" s="7">
        <v>0</v>
      </c>
      <c r="Y60" s="8">
        <v>56.58</v>
      </c>
    </row>
    <row r="61" spans="1:25" ht="12.75">
      <c r="A61" s="6" t="s">
        <v>26</v>
      </c>
      <c r="B61" s="7" t="s">
        <v>27</v>
      </c>
      <c r="C61" s="7" t="s">
        <v>28</v>
      </c>
      <c r="D61" s="7" t="s">
        <v>43</v>
      </c>
      <c r="E61" s="7" t="s">
        <v>70</v>
      </c>
      <c r="F61" s="7" t="s">
        <v>71</v>
      </c>
      <c r="G61" s="7">
        <v>2018</v>
      </c>
      <c r="H61" s="7" t="str">
        <f>CONCATENATE("84240571798")</f>
        <v>84240571798</v>
      </c>
      <c r="I61" s="7" t="s">
        <v>32</v>
      </c>
      <c r="J61" s="7" t="s">
        <v>33</v>
      </c>
      <c r="K61" s="7">
        <f>CONCATENATE("")</f>
      </c>
      <c r="L61" s="7" t="str">
        <f>CONCATENATE("11 11.2 4b")</f>
        <v>11 11.2 4b</v>
      </c>
      <c r="M61" s="7" t="str">
        <f>CONCATENATE("RNLSMN74B47I608C")</f>
        <v>RNLSMN74B47I608C</v>
      </c>
      <c r="N61" s="7" t="s">
        <v>116</v>
      </c>
      <c r="O61" s="7" t="s">
        <v>53</v>
      </c>
      <c r="P61" s="7" t="s">
        <v>36</v>
      </c>
      <c r="Q61" s="7" t="s">
        <v>37</v>
      </c>
      <c r="R61" s="7" t="s">
        <v>38</v>
      </c>
      <c r="S61" s="7" t="s">
        <v>39</v>
      </c>
      <c r="T61" s="7"/>
      <c r="U61" s="7">
        <v>574.32</v>
      </c>
      <c r="V61" s="7">
        <v>247.65</v>
      </c>
      <c r="W61" s="7">
        <v>228.69</v>
      </c>
      <c r="X61" s="7">
        <v>0</v>
      </c>
      <c r="Y61" s="8">
        <v>97.98</v>
      </c>
    </row>
    <row r="62" spans="1:25" ht="12.75">
      <c r="A62" s="6" t="s">
        <v>26</v>
      </c>
      <c r="B62" s="7" t="s">
        <v>27</v>
      </c>
      <c r="C62" s="7" t="s">
        <v>28</v>
      </c>
      <c r="D62" s="7" t="s">
        <v>29</v>
      </c>
      <c r="E62" s="7" t="s">
        <v>30</v>
      </c>
      <c r="F62" s="7" t="s">
        <v>31</v>
      </c>
      <c r="G62" s="7">
        <v>2019</v>
      </c>
      <c r="H62" s="7" t="str">
        <f>CONCATENATE("94240770027")</f>
        <v>94240770027</v>
      </c>
      <c r="I62" s="7" t="s">
        <v>32</v>
      </c>
      <c r="J62" s="7" t="s">
        <v>33</v>
      </c>
      <c r="K62" s="7">
        <f>CONCATENATE("")</f>
      </c>
      <c r="L62" s="7" t="str">
        <f>CONCATENATE("11 11.2 4b")</f>
        <v>11 11.2 4b</v>
      </c>
      <c r="M62" s="7" t="str">
        <f>CONCATENATE("01909520437")</f>
        <v>01909520437</v>
      </c>
      <c r="N62" s="7" t="s">
        <v>117</v>
      </c>
      <c r="O62" s="7" t="s">
        <v>35</v>
      </c>
      <c r="P62" s="7" t="s">
        <v>36</v>
      </c>
      <c r="Q62" s="7" t="s">
        <v>37</v>
      </c>
      <c r="R62" s="7" t="s">
        <v>38</v>
      </c>
      <c r="S62" s="7" t="s">
        <v>39</v>
      </c>
      <c r="T62" s="7"/>
      <c r="U62" s="7">
        <v>13542.5</v>
      </c>
      <c r="V62" s="7">
        <v>5839.53</v>
      </c>
      <c r="W62" s="7">
        <v>5392.62</v>
      </c>
      <c r="X62" s="7">
        <v>0</v>
      </c>
      <c r="Y62" s="8">
        <v>2310.35</v>
      </c>
    </row>
    <row r="63" spans="1:25" ht="12.75">
      <c r="A63" s="6" t="s">
        <v>26</v>
      </c>
      <c r="B63" s="7" t="s">
        <v>27</v>
      </c>
      <c r="C63" s="7" t="s">
        <v>28</v>
      </c>
      <c r="D63" s="7" t="s">
        <v>29</v>
      </c>
      <c r="E63" s="7" t="s">
        <v>40</v>
      </c>
      <c r="F63" s="7" t="s">
        <v>62</v>
      </c>
      <c r="G63" s="7">
        <v>2018</v>
      </c>
      <c r="H63" s="7" t="str">
        <f>CONCATENATE("84240430805")</f>
        <v>84240430805</v>
      </c>
      <c r="I63" s="7" t="s">
        <v>32</v>
      </c>
      <c r="J63" s="7" t="s">
        <v>33</v>
      </c>
      <c r="K63" s="7">
        <f>CONCATENATE("")</f>
      </c>
      <c r="L63" s="7" t="str">
        <f>CONCATENATE("11 11.2 4b")</f>
        <v>11 11.2 4b</v>
      </c>
      <c r="M63" s="7" t="str">
        <f>CONCATENATE("01944930435")</f>
        <v>01944930435</v>
      </c>
      <c r="N63" s="7" t="s">
        <v>118</v>
      </c>
      <c r="O63" s="7" t="s">
        <v>35</v>
      </c>
      <c r="P63" s="7" t="s">
        <v>36</v>
      </c>
      <c r="Q63" s="7" t="s">
        <v>37</v>
      </c>
      <c r="R63" s="7" t="s">
        <v>38</v>
      </c>
      <c r="S63" s="7" t="s">
        <v>39</v>
      </c>
      <c r="T63" s="7"/>
      <c r="U63" s="7">
        <v>17301.91</v>
      </c>
      <c r="V63" s="7">
        <v>7460.58</v>
      </c>
      <c r="W63" s="7">
        <v>6889.62</v>
      </c>
      <c r="X63" s="7">
        <v>0</v>
      </c>
      <c r="Y63" s="8">
        <v>2951.71</v>
      </c>
    </row>
    <row r="64" spans="1:25" ht="12.75">
      <c r="A64" s="6" t="s">
        <v>26</v>
      </c>
      <c r="B64" s="7" t="s">
        <v>27</v>
      </c>
      <c r="C64" s="7" t="s">
        <v>28</v>
      </c>
      <c r="D64" s="7" t="s">
        <v>29</v>
      </c>
      <c r="E64" s="7" t="s">
        <v>40</v>
      </c>
      <c r="F64" s="7" t="s">
        <v>62</v>
      </c>
      <c r="G64" s="7">
        <v>2019</v>
      </c>
      <c r="H64" s="7" t="str">
        <f>CONCATENATE("94240573629")</f>
        <v>94240573629</v>
      </c>
      <c r="I64" s="7" t="s">
        <v>32</v>
      </c>
      <c r="J64" s="7" t="s">
        <v>33</v>
      </c>
      <c r="K64" s="7">
        <f>CONCATENATE("")</f>
      </c>
      <c r="L64" s="7" t="str">
        <f>CONCATENATE("11 11.2 4b")</f>
        <v>11 11.2 4b</v>
      </c>
      <c r="M64" s="7" t="str">
        <f>CONCATENATE("01944930435")</f>
        <v>01944930435</v>
      </c>
      <c r="N64" s="7" t="s">
        <v>118</v>
      </c>
      <c r="O64" s="7" t="s">
        <v>35</v>
      </c>
      <c r="P64" s="7" t="s">
        <v>36</v>
      </c>
      <c r="Q64" s="7" t="s">
        <v>37</v>
      </c>
      <c r="R64" s="7" t="s">
        <v>38</v>
      </c>
      <c r="S64" s="7" t="s">
        <v>39</v>
      </c>
      <c r="T64" s="7"/>
      <c r="U64" s="7">
        <v>17123.8</v>
      </c>
      <c r="V64" s="7">
        <v>7383.78</v>
      </c>
      <c r="W64" s="7">
        <v>6818.7</v>
      </c>
      <c r="X64" s="7">
        <v>0</v>
      </c>
      <c r="Y64" s="8">
        <v>2921.32</v>
      </c>
    </row>
    <row r="65" spans="1:25" ht="12.75">
      <c r="A65" s="6" t="s">
        <v>26</v>
      </c>
      <c r="B65" s="7" t="s">
        <v>27</v>
      </c>
      <c r="C65" s="7" t="s">
        <v>28</v>
      </c>
      <c r="D65" s="7" t="s">
        <v>29</v>
      </c>
      <c r="E65" s="7" t="s">
        <v>40</v>
      </c>
      <c r="F65" s="7" t="s">
        <v>62</v>
      </c>
      <c r="G65" s="7">
        <v>2017</v>
      </c>
      <c r="H65" s="7" t="str">
        <f>CONCATENATE("74240307095")</f>
        <v>74240307095</v>
      </c>
      <c r="I65" s="7" t="s">
        <v>32</v>
      </c>
      <c r="J65" s="7" t="s">
        <v>33</v>
      </c>
      <c r="K65" s="7">
        <f>CONCATENATE("")</f>
      </c>
      <c r="L65" s="7" t="str">
        <f>CONCATENATE("11 11.2 4b")</f>
        <v>11 11.2 4b</v>
      </c>
      <c r="M65" s="7" t="str">
        <f>CONCATENATE("01944930435")</f>
        <v>01944930435</v>
      </c>
      <c r="N65" s="7" t="s">
        <v>118</v>
      </c>
      <c r="O65" s="7" t="s">
        <v>35</v>
      </c>
      <c r="P65" s="7" t="s">
        <v>36</v>
      </c>
      <c r="Q65" s="7" t="s">
        <v>37</v>
      </c>
      <c r="R65" s="7" t="s">
        <v>38</v>
      </c>
      <c r="S65" s="7" t="s">
        <v>39</v>
      </c>
      <c r="T65" s="7"/>
      <c r="U65" s="7">
        <v>17776.16</v>
      </c>
      <c r="V65" s="7">
        <v>7665.08</v>
      </c>
      <c r="W65" s="7">
        <v>7078.47</v>
      </c>
      <c r="X65" s="7">
        <v>0</v>
      </c>
      <c r="Y65" s="8">
        <v>3032.61</v>
      </c>
    </row>
    <row r="66" spans="1:25" ht="12.75">
      <c r="A66" s="6" t="s">
        <v>26</v>
      </c>
      <c r="B66" s="7" t="s">
        <v>27</v>
      </c>
      <c r="C66" s="7" t="s">
        <v>28</v>
      </c>
      <c r="D66" s="7" t="s">
        <v>50</v>
      </c>
      <c r="E66" s="7" t="s">
        <v>48</v>
      </c>
      <c r="F66" s="7" t="s">
        <v>48</v>
      </c>
      <c r="G66" s="7">
        <v>2019</v>
      </c>
      <c r="H66" s="7" t="str">
        <f>CONCATENATE("94240718778")</f>
        <v>94240718778</v>
      </c>
      <c r="I66" s="7" t="s">
        <v>32</v>
      </c>
      <c r="J66" s="7" t="s">
        <v>33</v>
      </c>
      <c r="K66" s="7">
        <f>CONCATENATE("")</f>
      </c>
      <c r="L66" s="7" t="str">
        <f>CONCATENATE("11 11.2 4b")</f>
        <v>11 11.2 4b</v>
      </c>
      <c r="M66" s="7" t="str">
        <f>CONCATENATE("CLNFNC53R07B816K")</f>
        <v>CLNFNC53R07B816K</v>
      </c>
      <c r="N66" s="7" t="s">
        <v>119</v>
      </c>
      <c r="O66" s="7" t="s">
        <v>53</v>
      </c>
      <c r="P66" s="7" t="s">
        <v>36</v>
      </c>
      <c r="Q66" s="7" t="s">
        <v>37</v>
      </c>
      <c r="R66" s="7" t="s">
        <v>38</v>
      </c>
      <c r="S66" s="7" t="s">
        <v>39</v>
      </c>
      <c r="T66" s="7"/>
      <c r="U66" s="7">
        <v>730.37</v>
      </c>
      <c r="V66" s="7">
        <v>314.94</v>
      </c>
      <c r="W66" s="7">
        <v>290.83</v>
      </c>
      <c r="X66" s="7">
        <v>0</v>
      </c>
      <c r="Y66" s="8">
        <v>124.6</v>
      </c>
    </row>
    <row r="67" spans="1:25" ht="12.75">
      <c r="A67" s="6" t="s">
        <v>26</v>
      </c>
      <c r="B67" s="7" t="s">
        <v>27</v>
      </c>
      <c r="C67" s="7" t="s">
        <v>28</v>
      </c>
      <c r="D67" s="7" t="s">
        <v>43</v>
      </c>
      <c r="E67" s="7" t="s">
        <v>58</v>
      </c>
      <c r="F67" s="7" t="s">
        <v>85</v>
      </c>
      <c r="G67" s="7">
        <v>2018</v>
      </c>
      <c r="H67" s="7" t="str">
        <f>CONCATENATE("84240710172")</f>
        <v>84240710172</v>
      </c>
      <c r="I67" s="7" t="s">
        <v>32</v>
      </c>
      <c r="J67" s="7" t="s">
        <v>33</v>
      </c>
      <c r="K67" s="7">
        <f>CONCATENATE("")</f>
      </c>
      <c r="L67" s="7" t="str">
        <f>CONCATENATE("11 11.1 4b")</f>
        <v>11 11.1 4b</v>
      </c>
      <c r="M67" s="7" t="str">
        <f>CONCATENATE("12107051000")</f>
        <v>12107051000</v>
      </c>
      <c r="N67" s="7" t="s">
        <v>120</v>
      </c>
      <c r="O67" s="7" t="s">
        <v>53</v>
      </c>
      <c r="P67" s="7" t="s">
        <v>36</v>
      </c>
      <c r="Q67" s="7" t="s">
        <v>37</v>
      </c>
      <c r="R67" s="7" t="s">
        <v>38</v>
      </c>
      <c r="S67" s="7" t="s">
        <v>39</v>
      </c>
      <c r="T67" s="7"/>
      <c r="U67" s="7">
        <v>391.42</v>
      </c>
      <c r="V67" s="7">
        <v>168.78</v>
      </c>
      <c r="W67" s="7">
        <v>155.86</v>
      </c>
      <c r="X67" s="7">
        <v>0</v>
      </c>
      <c r="Y67" s="8">
        <v>66.78</v>
      </c>
    </row>
    <row r="68" spans="1:25" ht="12.75">
      <c r="A68" s="6" t="s">
        <v>26</v>
      </c>
      <c r="B68" s="7" t="s">
        <v>27</v>
      </c>
      <c r="C68" s="7" t="s">
        <v>28</v>
      </c>
      <c r="D68" s="7" t="s">
        <v>50</v>
      </c>
      <c r="E68" s="7" t="s">
        <v>121</v>
      </c>
      <c r="F68" s="7" t="s">
        <v>122</v>
      </c>
      <c r="G68" s="7">
        <v>2018</v>
      </c>
      <c r="H68" s="7" t="str">
        <f>CONCATENATE("84240735427")</f>
        <v>84240735427</v>
      </c>
      <c r="I68" s="7" t="s">
        <v>32</v>
      </c>
      <c r="J68" s="7" t="s">
        <v>33</v>
      </c>
      <c r="K68" s="7">
        <f>CONCATENATE("")</f>
      </c>
      <c r="L68" s="7" t="str">
        <f>CONCATENATE("11 11.2 4b")</f>
        <v>11 11.2 4b</v>
      </c>
      <c r="M68" s="7" t="str">
        <f>CONCATENATE("01134880416")</f>
        <v>01134880416</v>
      </c>
      <c r="N68" s="7" t="s">
        <v>123</v>
      </c>
      <c r="O68" s="7" t="s">
        <v>53</v>
      </c>
      <c r="P68" s="7" t="s">
        <v>36</v>
      </c>
      <c r="Q68" s="7" t="s">
        <v>37</v>
      </c>
      <c r="R68" s="7" t="s">
        <v>38</v>
      </c>
      <c r="S68" s="7" t="s">
        <v>39</v>
      </c>
      <c r="T68" s="7"/>
      <c r="U68" s="7">
        <v>3040.35</v>
      </c>
      <c r="V68" s="7">
        <v>1311</v>
      </c>
      <c r="W68" s="7">
        <v>1210.67</v>
      </c>
      <c r="X68" s="7">
        <v>0</v>
      </c>
      <c r="Y68" s="8">
        <v>518.68</v>
      </c>
    </row>
    <row r="69" spans="1:25" ht="12.75">
      <c r="A69" s="6" t="s">
        <v>26</v>
      </c>
      <c r="B69" s="7" t="s">
        <v>27</v>
      </c>
      <c r="C69" s="7" t="s">
        <v>28</v>
      </c>
      <c r="D69" s="7" t="s">
        <v>50</v>
      </c>
      <c r="E69" s="7" t="s">
        <v>121</v>
      </c>
      <c r="F69" s="7" t="s">
        <v>122</v>
      </c>
      <c r="G69" s="7">
        <v>2019</v>
      </c>
      <c r="H69" s="7" t="str">
        <f>CONCATENATE("94241017931")</f>
        <v>94241017931</v>
      </c>
      <c r="I69" s="7" t="s">
        <v>32</v>
      </c>
      <c r="J69" s="7" t="s">
        <v>33</v>
      </c>
      <c r="K69" s="7">
        <f>CONCATENATE("")</f>
      </c>
      <c r="L69" s="7" t="str">
        <f>CONCATENATE("11 11.2 4b")</f>
        <v>11 11.2 4b</v>
      </c>
      <c r="M69" s="7" t="str">
        <f>CONCATENATE("01134880416")</f>
        <v>01134880416</v>
      </c>
      <c r="N69" s="7" t="s">
        <v>123</v>
      </c>
      <c r="O69" s="7" t="s">
        <v>53</v>
      </c>
      <c r="P69" s="7" t="s">
        <v>36</v>
      </c>
      <c r="Q69" s="7" t="s">
        <v>37</v>
      </c>
      <c r="R69" s="7" t="s">
        <v>38</v>
      </c>
      <c r="S69" s="7" t="s">
        <v>39</v>
      </c>
      <c r="T69" s="7"/>
      <c r="U69" s="7">
        <v>2460.02</v>
      </c>
      <c r="V69" s="7">
        <v>1060.76</v>
      </c>
      <c r="W69" s="7">
        <v>979.58</v>
      </c>
      <c r="X69" s="7">
        <v>0</v>
      </c>
      <c r="Y69" s="8">
        <v>419.68</v>
      </c>
    </row>
    <row r="70" spans="1:25" ht="12.75">
      <c r="A70" s="6" t="s">
        <v>26</v>
      </c>
      <c r="B70" s="7" t="s">
        <v>27</v>
      </c>
      <c r="C70" s="7" t="s">
        <v>28</v>
      </c>
      <c r="D70" s="7" t="s">
        <v>50</v>
      </c>
      <c r="E70" s="7" t="s">
        <v>30</v>
      </c>
      <c r="F70" s="7" t="s">
        <v>68</v>
      </c>
      <c r="G70" s="7">
        <v>2019</v>
      </c>
      <c r="H70" s="7" t="str">
        <f>CONCATENATE("94241019473")</f>
        <v>94241019473</v>
      </c>
      <c r="I70" s="7" t="s">
        <v>32</v>
      </c>
      <c r="J70" s="7" t="s">
        <v>33</v>
      </c>
      <c r="K70" s="7">
        <f>CONCATENATE("")</f>
      </c>
      <c r="L70" s="7" t="str">
        <f>CONCATENATE("11 11.2 4b")</f>
        <v>11 11.2 4b</v>
      </c>
      <c r="M70" s="7" t="str">
        <f>CONCATENATE("BNDCLD68E05I287I")</f>
        <v>BNDCLD68E05I287I</v>
      </c>
      <c r="N70" s="7" t="s">
        <v>124</v>
      </c>
      <c r="O70" s="7" t="s">
        <v>46</v>
      </c>
      <c r="P70" s="7" t="s">
        <v>36</v>
      </c>
      <c r="Q70" s="7" t="s">
        <v>37</v>
      </c>
      <c r="R70" s="7" t="s">
        <v>38</v>
      </c>
      <c r="S70" s="7" t="s">
        <v>39</v>
      </c>
      <c r="T70" s="7"/>
      <c r="U70" s="7">
        <v>85.19</v>
      </c>
      <c r="V70" s="7">
        <v>36.73</v>
      </c>
      <c r="W70" s="7">
        <v>33.92</v>
      </c>
      <c r="X70" s="7">
        <v>0</v>
      </c>
      <c r="Y70" s="8">
        <v>14.54</v>
      </c>
    </row>
    <row r="71" spans="1:25" ht="12.75">
      <c r="A71" s="6" t="s">
        <v>26</v>
      </c>
      <c r="B71" s="7" t="s">
        <v>27</v>
      </c>
      <c r="C71" s="7" t="s">
        <v>28</v>
      </c>
      <c r="D71" s="7" t="s">
        <v>47</v>
      </c>
      <c r="E71" s="7" t="s">
        <v>30</v>
      </c>
      <c r="F71" s="7" t="s">
        <v>125</v>
      </c>
      <c r="G71" s="7">
        <v>2018</v>
      </c>
      <c r="H71" s="7" t="str">
        <f>CONCATENATE("84240766349")</f>
        <v>84240766349</v>
      </c>
      <c r="I71" s="7" t="s">
        <v>32</v>
      </c>
      <c r="J71" s="7" t="s">
        <v>33</v>
      </c>
      <c r="K71" s="7">
        <f>CONCATENATE("")</f>
      </c>
      <c r="L71" s="7" t="str">
        <f>CONCATENATE("11 11.2 4b")</f>
        <v>11 11.2 4b</v>
      </c>
      <c r="M71" s="7" t="str">
        <f>CONCATENATE("CCCLGU36S17D760Y")</f>
        <v>CCCLGU36S17D760Y</v>
      </c>
      <c r="N71" s="7" t="s">
        <v>126</v>
      </c>
      <c r="O71" s="7" t="s">
        <v>46</v>
      </c>
      <c r="P71" s="7" t="s">
        <v>36</v>
      </c>
      <c r="Q71" s="7" t="s">
        <v>37</v>
      </c>
      <c r="R71" s="7" t="s">
        <v>38</v>
      </c>
      <c r="S71" s="7" t="s">
        <v>39</v>
      </c>
      <c r="T71" s="7"/>
      <c r="U71" s="7">
        <v>191.34</v>
      </c>
      <c r="V71" s="7">
        <v>82.51</v>
      </c>
      <c r="W71" s="7">
        <v>76.19</v>
      </c>
      <c r="X71" s="7">
        <v>0</v>
      </c>
      <c r="Y71" s="8">
        <v>32.64</v>
      </c>
    </row>
    <row r="72" spans="1:25" ht="12.75">
      <c r="A72" s="6" t="s">
        <v>26</v>
      </c>
      <c r="B72" s="7" t="s">
        <v>27</v>
      </c>
      <c r="C72" s="7" t="s">
        <v>28</v>
      </c>
      <c r="D72" s="7" t="s">
        <v>47</v>
      </c>
      <c r="E72" s="7" t="s">
        <v>48</v>
      </c>
      <c r="F72" s="7" t="s">
        <v>48</v>
      </c>
      <c r="G72" s="7">
        <v>2018</v>
      </c>
      <c r="H72" s="7" t="str">
        <f>CONCATENATE("84240742456")</f>
        <v>84240742456</v>
      </c>
      <c r="I72" s="7" t="s">
        <v>127</v>
      </c>
      <c r="J72" s="7" t="s">
        <v>33</v>
      </c>
      <c r="K72" s="7">
        <f>CONCATENATE("")</f>
      </c>
      <c r="L72" s="7" t="str">
        <f>CONCATENATE("11 11.2 4b")</f>
        <v>11 11.2 4b</v>
      </c>
      <c r="M72" s="7" t="str">
        <f>CONCATENATE("NCCRNN81C14H769H")</f>
        <v>NCCRNN81C14H769H</v>
      </c>
      <c r="N72" s="7" t="s">
        <v>128</v>
      </c>
      <c r="O72" s="7" t="s">
        <v>46</v>
      </c>
      <c r="P72" s="7" t="s">
        <v>36</v>
      </c>
      <c r="Q72" s="7" t="s">
        <v>37</v>
      </c>
      <c r="R72" s="7" t="s">
        <v>38</v>
      </c>
      <c r="S72" s="7" t="s">
        <v>39</v>
      </c>
      <c r="T72" s="7"/>
      <c r="U72" s="7">
        <v>826.49</v>
      </c>
      <c r="V72" s="7">
        <v>356.38</v>
      </c>
      <c r="W72" s="7">
        <v>329.11</v>
      </c>
      <c r="X72" s="7">
        <v>0</v>
      </c>
      <c r="Y72" s="8">
        <v>141</v>
      </c>
    </row>
    <row r="73" spans="1:25" ht="12.75">
      <c r="A73" s="6" t="s">
        <v>26</v>
      </c>
      <c r="B73" s="7" t="s">
        <v>27</v>
      </c>
      <c r="C73" s="7" t="s">
        <v>28</v>
      </c>
      <c r="D73" s="7" t="s">
        <v>50</v>
      </c>
      <c r="E73" s="7" t="s">
        <v>40</v>
      </c>
      <c r="F73" s="7" t="s">
        <v>51</v>
      </c>
      <c r="G73" s="7">
        <v>2019</v>
      </c>
      <c r="H73" s="7" t="str">
        <f>CONCATENATE("94240001472")</f>
        <v>94240001472</v>
      </c>
      <c r="I73" s="7" t="s">
        <v>32</v>
      </c>
      <c r="J73" s="7" t="s">
        <v>33</v>
      </c>
      <c r="K73" s="7">
        <f>CONCATENATE("")</f>
      </c>
      <c r="L73" s="7" t="str">
        <f>CONCATENATE("11 11.2 4b")</f>
        <v>11 11.2 4b</v>
      </c>
      <c r="M73" s="7" t="str">
        <f>CONCATENATE("02099510410")</f>
        <v>02099510410</v>
      </c>
      <c r="N73" s="7" t="s">
        <v>129</v>
      </c>
      <c r="O73" s="7" t="s">
        <v>53</v>
      </c>
      <c r="P73" s="7" t="s">
        <v>36</v>
      </c>
      <c r="Q73" s="7" t="s">
        <v>37</v>
      </c>
      <c r="R73" s="7" t="s">
        <v>38</v>
      </c>
      <c r="S73" s="7" t="s">
        <v>39</v>
      </c>
      <c r="T73" s="7"/>
      <c r="U73" s="7">
        <v>94.18</v>
      </c>
      <c r="V73" s="7">
        <v>40.61</v>
      </c>
      <c r="W73" s="7">
        <v>37.5</v>
      </c>
      <c r="X73" s="7">
        <v>0</v>
      </c>
      <c r="Y73" s="8">
        <v>16.07</v>
      </c>
    </row>
    <row r="74" spans="1:25" ht="12.75">
      <c r="A74" s="6" t="s">
        <v>26</v>
      </c>
      <c r="B74" s="7" t="s">
        <v>27</v>
      </c>
      <c r="C74" s="7" t="s">
        <v>28</v>
      </c>
      <c r="D74" s="7" t="s">
        <v>50</v>
      </c>
      <c r="E74" s="7" t="s">
        <v>58</v>
      </c>
      <c r="F74" s="7" t="s">
        <v>130</v>
      </c>
      <c r="G74" s="7">
        <v>2019</v>
      </c>
      <c r="H74" s="7" t="str">
        <f>CONCATENATE("94241020315")</f>
        <v>94241020315</v>
      </c>
      <c r="I74" s="7" t="s">
        <v>32</v>
      </c>
      <c r="J74" s="7" t="s">
        <v>33</v>
      </c>
      <c r="K74" s="7">
        <f>CONCATENATE("")</f>
      </c>
      <c r="L74" s="7" t="str">
        <f>CONCATENATE("11 11.2 4b")</f>
        <v>11 11.2 4b</v>
      </c>
      <c r="M74" s="7" t="str">
        <f>CONCATENATE("BRBDVD64S19H501C")</f>
        <v>BRBDVD64S19H501C</v>
      </c>
      <c r="N74" s="7" t="s">
        <v>131</v>
      </c>
      <c r="O74" s="7" t="s">
        <v>53</v>
      </c>
      <c r="P74" s="7" t="s">
        <v>36</v>
      </c>
      <c r="Q74" s="7" t="s">
        <v>37</v>
      </c>
      <c r="R74" s="7" t="s">
        <v>38</v>
      </c>
      <c r="S74" s="7" t="s">
        <v>39</v>
      </c>
      <c r="T74" s="7"/>
      <c r="U74" s="7">
        <v>393.19</v>
      </c>
      <c r="V74" s="7">
        <v>169.54</v>
      </c>
      <c r="W74" s="7">
        <v>156.57</v>
      </c>
      <c r="X74" s="7">
        <v>0</v>
      </c>
      <c r="Y74" s="8">
        <v>67.08</v>
      </c>
    </row>
    <row r="75" spans="1:25" ht="12.75">
      <c r="A75" s="6" t="s">
        <v>26</v>
      </c>
      <c r="B75" s="7" t="s">
        <v>27</v>
      </c>
      <c r="C75" s="7" t="s">
        <v>28</v>
      </c>
      <c r="D75" s="7" t="s">
        <v>43</v>
      </c>
      <c r="E75" s="7" t="s">
        <v>30</v>
      </c>
      <c r="F75" s="7" t="s">
        <v>132</v>
      </c>
      <c r="G75" s="7">
        <v>2017</v>
      </c>
      <c r="H75" s="7" t="str">
        <f>CONCATENATE("74240473376")</f>
        <v>74240473376</v>
      </c>
      <c r="I75" s="7" t="s">
        <v>32</v>
      </c>
      <c r="J75" s="7" t="s">
        <v>33</v>
      </c>
      <c r="K75" s="7">
        <f>CONCATENATE("")</f>
      </c>
      <c r="L75" s="7" t="str">
        <f>CONCATENATE("11 11.2 4b")</f>
        <v>11 11.2 4b</v>
      </c>
      <c r="M75" s="7" t="str">
        <f>CONCATENATE("CLCNTN30H30I932W")</f>
        <v>CLCNTN30H30I932W</v>
      </c>
      <c r="N75" s="7" t="s">
        <v>133</v>
      </c>
      <c r="O75" s="7" t="s">
        <v>53</v>
      </c>
      <c r="P75" s="7" t="s">
        <v>36</v>
      </c>
      <c r="Q75" s="7" t="s">
        <v>37</v>
      </c>
      <c r="R75" s="7" t="s">
        <v>38</v>
      </c>
      <c r="S75" s="7" t="s">
        <v>39</v>
      </c>
      <c r="T75" s="7"/>
      <c r="U75" s="7">
        <v>4800.39</v>
      </c>
      <c r="V75" s="7">
        <v>2069.93</v>
      </c>
      <c r="W75" s="7">
        <v>1911.52</v>
      </c>
      <c r="X75" s="7">
        <v>0</v>
      </c>
      <c r="Y75" s="8">
        <v>818.94</v>
      </c>
    </row>
    <row r="76" spans="1:25" ht="12.75">
      <c r="A76" s="6" t="s">
        <v>26</v>
      </c>
      <c r="B76" s="7" t="s">
        <v>27</v>
      </c>
      <c r="C76" s="7" t="s">
        <v>28</v>
      </c>
      <c r="D76" s="7" t="s">
        <v>50</v>
      </c>
      <c r="E76" s="7" t="s">
        <v>40</v>
      </c>
      <c r="F76" s="7" t="s">
        <v>54</v>
      </c>
      <c r="G76" s="7">
        <v>2019</v>
      </c>
      <c r="H76" s="7" t="str">
        <f>CONCATENATE("94240182645")</f>
        <v>94240182645</v>
      </c>
      <c r="I76" s="7" t="s">
        <v>32</v>
      </c>
      <c r="J76" s="7" t="s">
        <v>33</v>
      </c>
      <c r="K76" s="7">
        <f>CONCATENATE("")</f>
      </c>
      <c r="L76" s="7" t="str">
        <f>CONCATENATE("11 11.1 4b")</f>
        <v>11 11.1 4b</v>
      </c>
      <c r="M76" s="7" t="str">
        <f>CONCATENATE("BLDNDR80S18I287O")</f>
        <v>BLDNDR80S18I287O</v>
      </c>
      <c r="N76" s="7" t="s">
        <v>134</v>
      </c>
      <c r="O76" s="7" t="s">
        <v>53</v>
      </c>
      <c r="P76" s="7" t="s">
        <v>36</v>
      </c>
      <c r="Q76" s="7" t="s">
        <v>37</v>
      </c>
      <c r="R76" s="7" t="s">
        <v>38</v>
      </c>
      <c r="S76" s="7" t="s">
        <v>39</v>
      </c>
      <c r="T76" s="7"/>
      <c r="U76" s="7">
        <v>59.77</v>
      </c>
      <c r="V76" s="7">
        <v>25.77</v>
      </c>
      <c r="W76" s="7">
        <v>23.8</v>
      </c>
      <c r="X76" s="7">
        <v>0</v>
      </c>
      <c r="Y76" s="8">
        <v>10.2</v>
      </c>
    </row>
    <row r="77" spans="1:25" ht="12.75">
      <c r="A77" s="6" t="s">
        <v>26</v>
      </c>
      <c r="B77" s="7" t="s">
        <v>27</v>
      </c>
      <c r="C77" s="7" t="s">
        <v>28</v>
      </c>
      <c r="D77" s="7" t="s">
        <v>50</v>
      </c>
      <c r="E77" s="7" t="s">
        <v>30</v>
      </c>
      <c r="F77" s="7" t="s">
        <v>135</v>
      </c>
      <c r="G77" s="7">
        <v>2019</v>
      </c>
      <c r="H77" s="7" t="str">
        <f>CONCATENATE("94240774052")</f>
        <v>94240774052</v>
      </c>
      <c r="I77" s="7" t="s">
        <v>32</v>
      </c>
      <c r="J77" s="7" t="s">
        <v>33</v>
      </c>
      <c r="K77" s="7">
        <f>CONCATENATE("")</f>
      </c>
      <c r="L77" s="7" t="str">
        <f>CONCATENATE("11 11.2 4b")</f>
        <v>11 11.2 4b</v>
      </c>
      <c r="M77" s="7" t="str">
        <f>CONCATENATE("CTNDNC59A16I654P")</f>
        <v>CTNDNC59A16I654P</v>
      </c>
      <c r="N77" s="7" t="s">
        <v>136</v>
      </c>
      <c r="O77" s="7" t="s">
        <v>53</v>
      </c>
      <c r="P77" s="7" t="s">
        <v>36</v>
      </c>
      <c r="Q77" s="7" t="s">
        <v>37</v>
      </c>
      <c r="R77" s="7" t="s">
        <v>38</v>
      </c>
      <c r="S77" s="7" t="s">
        <v>39</v>
      </c>
      <c r="T77" s="7"/>
      <c r="U77" s="7">
        <v>253.31</v>
      </c>
      <c r="V77" s="7">
        <v>109.23</v>
      </c>
      <c r="W77" s="7">
        <v>100.87</v>
      </c>
      <c r="X77" s="7">
        <v>0</v>
      </c>
      <c r="Y77" s="8">
        <v>43.21</v>
      </c>
    </row>
    <row r="78" spans="1:25" ht="12.75">
      <c r="A78" s="6" t="s">
        <v>26</v>
      </c>
      <c r="B78" s="7" t="s">
        <v>27</v>
      </c>
      <c r="C78" s="7" t="s">
        <v>28</v>
      </c>
      <c r="D78" s="7" t="s">
        <v>50</v>
      </c>
      <c r="E78" s="7" t="s">
        <v>40</v>
      </c>
      <c r="F78" s="7" t="s">
        <v>51</v>
      </c>
      <c r="G78" s="7">
        <v>2019</v>
      </c>
      <c r="H78" s="7" t="str">
        <f>CONCATENATE("94240158942")</f>
        <v>94240158942</v>
      </c>
      <c r="I78" s="7" t="s">
        <v>32</v>
      </c>
      <c r="J78" s="7" t="s">
        <v>33</v>
      </c>
      <c r="K78" s="7">
        <f>CONCATENATE("")</f>
      </c>
      <c r="L78" s="7" t="str">
        <f>CONCATENATE("11 11.2 4b")</f>
        <v>11 11.2 4b</v>
      </c>
      <c r="M78" s="7" t="str">
        <f>CONCATENATE("GRSSVN40E43Z130N")</f>
        <v>GRSSVN40E43Z130N</v>
      </c>
      <c r="N78" s="7" t="s">
        <v>137</v>
      </c>
      <c r="O78" s="7" t="s">
        <v>53</v>
      </c>
      <c r="P78" s="7" t="s">
        <v>36</v>
      </c>
      <c r="Q78" s="7" t="s">
        <v>37</v>
      </c>
      <c r="R78" s="7" t="s">
        <v>38</v>
      </c>
      <c r="S78" s="7" t="s">
        <v>39</v>
      </c>
      <c r="T78" s="7"/>
      <c r="U78" s="7">
        <v>525.07</v>
      </c>
      <c r="V78" s="7">
        <v>226.41</v>
      </c>
      <c r="W78" s="7">
        <v>209.08</v>
      </c>
      <c r="X78" s="7">
        <v>0</v>
      </c>
      <c r="Y78" s="8">
        <v>89.58</v>
      </c>
    </row>
    <row r="79" spans="1:25" ht="12.75">
      <c r="A79" s="6" t="s">
        <v>26</v>
      </c>
      <c r="B79" s="7" t="s">
        <v>27</v>
      </c>
      <c r="C79" s="7" t="s">
        <v>28</v>
      </c>
      <c r="D79" s="7" t="s">
        <v>50</v>
      </c>
      <c r="E79" s="7" t="s">
        <v>40</v>
      </c>
      <c r="F79" s="7" t="s">
        <v>51</v>
      </c>
      <c r="G79" s="7">
        <v>2019</v>
      </c>
      <c r="H79" s="7" t="str">
        <f>CONCATENATE("94240157423")</f>
        <v>94240157423</v>
      </c>
      <c r="I79" s="7" t="s">
        <v>32</v>
      </c>
      <c r="J79" s="7" t="s">
        <v>33</v>
      </c>
      <c r="K79" s="7">
        <f>CONCATENATE("")</f>
      </c>
      <c r="L79" s="7" t="str">
        <f>CONCATENATE("11 11.2 4b")</f>
        <v>11 11.2 4b</v>
      </c>
      <c r="M79" s="7" t="str">
        <f>CONCATENATE("01480720414")</f>
        <v>01480720414</v>
      </c>
      <c r="N79" s="7" t="s">
        <v>138</v>
      </c>
      <c r="O79" s="7" t="s">
        <v>53</v>
      </c>
      <c r="P79" s="7" t="s">
        <v>36</v>
      </c>
      <c r="Q79" s="7" t="s">
        <v>37</v>
      </c>
      <c r="R79" s="7" t="s">
        <v>38</v>
      </c>
      <c r="S79" s="7" t="s">
        <v>39</v>
      </c>
      <c r="T79" s="7"/>
      <c r="U79" s="7">
        <v>125.74</v>
      </c>
      <c r="V79" s="7">
        <v>54.22</v>
      </c>
      <c r="W79" s="7">
        <v>50.07</v>
      </c>
      <c r="X79" s="7">
        <v>0</v>
      </c>
      <c r="Y79" s="8">
        <v>21.45</v>
      </c>
    </row>
    <row r="80" spans="1:25" ht="12.75">
      <c r="A80" s="6" t="s">
        <v>26</v>
      </c>
      <c r="B80" s="7" t="s">
        <v>27</v>
      </c>
      <c r="C80" s="7" t="s">
        <v>28</v>
      </c>
      <c r="D80" s="7" t="s">
        <v>50</v>
      </c>
      <c r="E80" s="7" t="s">
        <v>70</v>
      </c>
      <c r="F80" s="7" t="s">
        <v>112</v>
      </c>
      <c r="G80" s="7">
        <v>2019</v>
      </c>
      <c r="H80" s="7" t="str">
        <f>CONCATENATE("94240130891")</f>
        <v>94240130891</v>
      </c>
      <c r="I80" s="7" t="s">
        <v>32</v>
      </c>
      <c r="J80" s="7" t="s">
        <v>33</v>
      </c>
      <c r="K80" s="7">
        <f>CONCATENATE("")</f>
      </c>
      <c r="L80" s="7" t="str">
        <f>CONCATENATE("11 11.1 4b")</f>
        <v>11 11.1 4b</v>
      </c>
      <c r="M80" s="7" t="str">
        <f>CONCATENATE("DLLDNC65M31G453L")</f>
        <v>DLLDNC65M31G453L</v>
      </c>
      <c r="N80" s="7" t="s">
        <v>139</v>
      </c>
      <c r="O80" s="7" t="s">
        <v>53</v>
      </c>
      <c r="P80" s="7" t="s">
        <v>36</v>
      </c>
      <c r="Q80" s="7" t="s">
        <v>37</v>
      </c>
      <c r="R80" s="7" t="s">
        <v>38</v>
      </c>
      <c r="S80" s="7" t="s">
        <v>39</v>
      </c>
      <c r="T80" s="7"/>
      <c r="U80" s="7">
        <v>191.59</v>
      </c>
      <c r="V80" s="7">
        <v>82.61</v>
      </c>
      <c r="W80" s="7">
        <v>76.29</v>
      </c>
      <c r="X80" s="7">
        <v>0</v>
      </c>
      <c r="Y80" s="8">
        <v>32.69</v>
      </c>
    </row>
    <row r="81" spans="1:25" ht="12.75">
      <c r="A81" s="6" t="s">
        <v>26</v>
      </c>
      <c r="B81" s="7" t="s">
        <v>27</v>
      </c>
      <c r="C81" s="7" t="s">
        <v>28</v>
      </c>
      <c r="D81" s="7" t="s">
        <v>43</v>
      </c>
      <c r="E81" s="7" t="s">
        <v>30</v>
      </c>
      <c r="F81" s="7" t="s">
        <v>44</v>
      </c>
      <c r="G81" s="7">
        <v>2018</v>
      </c>
      <c r="H81" s="7" t="str">
        <f>CONCATENATE("84241038797")</f>
        <v>84241038797</v>
      </c>
      <c r="I81" s="7" t="s">
        <v>32</v>
      </c>
      <c r="J81" s="7" t="s">
        <v>33</v>
      </c>
      <c r="K81" s="7">
        <f>CONCATENATE("")</f>
      </c>
      <c r="L81" s="7" t="str">
        <f>CONCATENATE("11 11.2 4b")</f>
        <v>11 11.2 4b</v>
      </c>
      <c r="M81" s="7" t="str">
        <f>CONCATENATE("RSSFSC63B60F356K")</f>
        <v>RSSFSC63B60F356K</v>
      </c>
      <c r="N81" s="7" t="s">
        <v>140</v>
      </c>
      <c r="O81" s="7" t="s">
        <v>53</v>
      </c>
      <c r="P81" s="7" t="s">
        <v>36</v>
      </c>
      <c r="Q81" s="7" t="s">
        <v>37</v>
      </c>
      <c r="R81" s="7" t="s">
        <v>38</v>
      </c>
      <c r="S81" s="7" t="s">
        <v>39</v>
      </c>
      <c r="T81" s="7"/>
      <c r="U81" s="7">
        <v>332.62</v>
      </c>
      <c r="V81" s="7">
        <v>143.43</v>
      </c>
      <c r="W81" s="7">
        <v>132.45</v>
      </c>
      <c r="X81" s="7">
        <v>0</v>
      </c>
      <c r="Y81" s="8">
        <v>56.74</v>
      </c>
    </row>
    <row r="82" spans="1:25" ht="12.75">
      <c r="A82" s="6" t="s">
        <v>26</v>
      </c>
      <c r="B82" s="7" t="s">
        <v>27</v>
      </c>
      <c r="C82" s="7" t="s">
        <v>28</v>
      </c>
      <c r="D82" s="7" t="s">
        <v>50</v>
      </c>
      <c r="E82" s="7" t="s">
        <v>40</v>
      </c>
      <c r="F82" s="7" t="s">
        <v>54</v>
      </c>
      <c r="G82" s="7">
        <v>2019</v>
      </c>
      <c r="H82" s="7" t="str">
        <f>CONCATENATE("94241164071")</f>
        <v>94241164071</v>
      </c>
      <c r="I82" s="7" t="s">
        <v>32</v>
      </c>
      <c r="J82" s="7" t="s">
        <v>33</v>
      </c>
      <c r="K82" s="7">
        <f>CONCATENATE("")</f>
      </c>
      <c r="L82" s="7" t="str">
        <f>CONCATENATE("11 11.2 4b")</f>
        <v>11 11.2 4b</v>
      </c>
      <c r="M82" s="7" t="str">
        <f>CONCATENATE("02351210410")</f>
        <v>02351210410</v>
      </c>
      <c r="N82" s="7" t="s">
        <v>141</v>
      </c>
      <c r="O82" s="7" t="s">
        <v>53</v>
      </c>
      <c r="P82" s="7" t="s">
        <v>36</v>
      </c>
      <c r="Q82" s="7" t="s">
        <v>37</v>
      </c>
      <c r="R82" s="7" t="s">
        <v>38</v>
      </c>
      <c r="S82" s="7" t="s">
        <v>39</v>
      </c>
      <c r="T82" s="7"/>
      <c r="U82" s="7">
        <v>773.43</v>
      </c>
      <c r="V82" s="7">
        <v>333.5</v>
      </c>
      <c r="W82" s="7">
        <v>307.98</v>
      </c>
      <c r="X82" s="7">
        <v>0</v>
      </c>
      <c r="Y82" s="8">
        <v>131.95</v>
      </c>
    </row>
    <row r="83" spans="1:25" ht="12.75">
      <c r="A83" s="6" t="s">
        <v>26</v>
      </c>
      <c r="B83" s="7" t="s">
        <v>27</v>
      </c>
      <c r="C83" s="7" t="s">
        <v>28</v>
      </c>
      <c r="D83" s="7" t="s">
        <v>50</v>
      </c>
      <c r="E83" s="7" t="s">
        <v>30</v>
      </c>
      <c r="F83" s="7" t="s">
        <v>77</v>
      </c>
      <c r="G83" s="7">
        <v>2019</v>
      </c>
      <c r="H83" s="7" t="str">
        <f>CONCATENATE("94240419195")</f>
        <v>94240419195</v>
      </c>
      <c r="I83" s="7" t="s">
        <v>32</v>
      </c>
      <c r="J83" s="7" t="s">
        <v>33</v>
      </c>
      <c r="K83" s="7">
        <f>CONCATENATE("")</f>
      </c>
      <c r="L83" s="7" t="str">
        <f>CONCATENATE("11 11.2 4b")</f>
        <v>11 11.2 4b</v>
      </c>
      <c r="M83" s="7" t="str">
        <f>CONCATENATE("02679820411")</f>
        <v>02679820411</v>
      </c>
      <c r="N83" s="7" t="s">
        <v>142</v>
      </c>
      <c r="O83" s="7" t="s">
        <v>53</v>
      </c>
      <c r="P83" s="7" t="s">
        <v>36</v>
      </c>
      <c r="Q83" s="7" t="s">
        <v>37</v>
      </c>
      <c r="R83" s="7" t="s">
        <v>38</v>
      </c>
      <c r="S83" s="7" t="s">
        <v>39</v>
      </c>
      <c r="T83" s="7"/>
      <c r="U83" s="7">
        <v>9392.01</v>
      </c>
      <c r="V83" s="7">
        <v>4049.83</v>
      </c>
      <c r="W83" s="7">
        <v>3739.9</v>
      </c>
      <c r="X83" s="7">
        <v>0</v>
      </c>
      <c r="Y83" s="8">
        <v>1602.28</v>
      </c>
    </row>
    <row r="84" spans="1:25" ht="12.75">
      <c r="A84" s="6" t="s">
        <v>26</v>
      </c>
      <c r="B84" s="7" t="s">
        <v>27</v>
      </c>
      <c r="C84" s="7" t="s">
        <v>28</v>
      </c>
      <c r="D84" s="7" t="s">
        <v>50</v>
      </c>
      <c r="E84" s="7" t="s">
        <v>40</v>
      </c>
      <c r="F84" s="7" t="s">
        <v>51</v>
      </c>
      <c r="G84" s="7">
        <v>2019</v>
      </c>
      <c r="H84" s="7" t="str">
        <f>CONCATENATE("94240407943")</f>
        <v>94240407943</v>
      </c>
      <c r="I84" s="7" t="s">
        <v>32</v>
      </c>
      <c r="J84" s="7" t="s">
        <v>33</v>
      </c>
      <c r="K84" s="7">
        <f>CONCATENATE("")</f>
      </c>
      <c r="L84" s="7" t="str">
        <f>CONCATENATE("11 11.1 4b")</f>
        <v>11 11.1 4b</v>
      </c>
      <c r="M84" s="7" t="str">
        <f>CONCATENATE("02253870410")</f>
        <v>02253870410</v>
      </c>
      <c r="N84" s="7" t="s">
        <v>143</v>
      </c>
      <c r="O84" s="7" t="s">
        <v>53</v>
      </c>
      <c r="P84" s="7" t="s">
        <v>36</v>
      </c>
      <c r="Q84" s="7" t="s">
        <v>37</v>
      </c>
      <c r="R84" s="7" t="s">
        <v>38</v>
      </c>
      <c r="S84" s="7" t="s">
        <v>39</v>
      </c>
      <c r="T84" s="7"/>
      <c r="U84" s="7">
        <v>764.99</v>
      </c>
      <c r="V84" s="7">
        <v>329.86</v>
      </c>
      <c r="W84" s="7">
        <v>304.62</v>
      </c>
      <c r="X84" s="7">
        <v>0</v>
      </c>
      <c r="Y84" s="8">
        <v>130.51</v>
      </c>
    </row>
    <row r="85" spans="1:25" ht="12.75">
      <c r="A85" s="6" t="s">
        <v>26</v>
      </c>
      <c r="B85" s="7" t="s">
        <v>27</v>
      </c>
      <c r="C85" s="7" t="s">
        <v>28</v>
      </c>
      <c r="D85" s="7" t="s">
        <v>50</v>
      </c>
      <c r="E85" s="7" t="s">
        <v>40</v>
      </c>
      <c r="F85" s="7" t="s">
        <v>51</v>
      </c>
      <c r="G85" s="7">
        <v>2019</v>
      </c>
      <c r="H85" s="7" t="str">
        <f>CONCATENATE("94240347925")</f>
        <v>94240347925</v>
      </c>
      <c r="I85" s="7" t="s">
        <v>32</v>
      </c>
      <c r="J85" s="7" t="s">
        <v>33</v>
      </c>
      <c r="K85" s="7">
        <f>CONCATENATE("")</f>
      </c>
      <c r="L85" s="7" t="str">
        <f>CONCATENATE("11 11.2 4b")</f>
        <v>11 11.2 4b</v>
      </c>
      <c r="M85" s="7" t="str">
        <f>CONCATENATE("02253870410")</f>
        <v>02253870410</v>
      </c>
      <c r="N85" s="7" t="s">
        <v>143</v>
      </c>
      <c r="O85" s="7" t="s">
        <v>144</v>
      </c>
      <c r="P85" s="7" t="s">
        <v>36</v>
      </c>
      <c r="Q85" s="7" t="s">
        <v>37</v>
      </c>
      <c r="R85" s="7" t="s">
        <v>38</v>
      </c>
      <c r="S85" s="7" t="s">
        <v>39</v>
      </c>
      <c r="T85" s="7"/>
      <c r="U85" s="7">
        <v>281.72</v>
      </c>
      <c r="V85" s="7">
        <v>121.48</v>
      </c>
      <c r="W85" s="7">
        <v>112.18</v>
      </c>
      <c r="X85" s="7">
        <v>0</v>
      </c>
      <c r="Y85" s="8">
        <v>48.06</v>
      </c>
    </row>
    <row r="86" spans="1:25" ht="12.75">
      <c r="A86" s="6" t="s">
        <v>26</v>
      </c>
      <c r="B86" s="7" t="s">
        <v>27</v>
      </c>
      <c r="C86" s="7" t="s">
        <v>28</v>
      </c>
      <c r="D86" s="7" t="s">
        <v>50</v>
      </c>
      <c r="E86" s="7" t="s">
        <v>30</v>
      </c>
      <c r="F86" s="7" t="s">
        <v>104</v>
      </c>
      <c r="G86" s="7">
        <v>2018</v>
      </c>
      <c r="H86" s="7" t="str">
        <f>CONCATENATE("84240735963")</f>
        <v>84240735963</v>
      </c>
      <c r="I86" s="7" t="s">
        <v>32</v>
      </c>
      <c r="J86" s="7" t="s">
        <v>33</v>
      </c>
      <c r="K86" s="7">
        <f>CONCATENATE("")</f>
      </c>
      <c r="L86" s="7" t="str">
        <f>CONCATENATE("11 11.2 4b")</f>
        <v>11 11.2 4b</v>
      </c>
      <c r="M86" s="7" t="str">
        <f>CONCATENATE("02452270412")</f>
        <v>02452270412</v>
      </c>
      <c r="N86" s="7" t="s">
        <v>145</v>
      </c>
      <c r="O86" s="7" t="s">
        <v>53</v>
      </c>
      <c r="P86" s="7" t="s">
        <v>36</v>
      </c>
      <c r="Q86" s="7" t="s">
        <v>37</v>
      </c>
      <c r="R86" s="7" t="s">
        <v>38</v>
      </c>
      <c r="S86" s="7" t="s">
        <v>39</v>
      </c>
      <c r="T86" s="7"/>
      <c r="U86" s="7">
        <v>1356.09</v>
      </c>
      <c r="V86" s="7">
        <v>584.75</v>
      </c>
      <c r="W86" s="7">
        <v>540</v>
      </c>
      <c r="X86" s="7">
        <v>0</v>
      </c>
      <c r="Y86" s="8">
        <v>231.34</v>
      </c>
    </row>
    <row r="87" spans="1:25" ht="12.75">
      <c r="A87" s="6" t="s">
        <v>26</v>
      </c>
      <c r="B87" s="7" t="s">
        <v>27</v>
      </c>
      <c r="C87" s="7" t="s">
        <v>28</v>
      </c>
      <c r="D87" s="7" t="s">
        <v>50</v>
      </c>
      <c r="E87" s="7" t="s">
        <v>30</v>
      </c>
      <c r="F87" s="7" t="s">
        <v>104</v>
      </c>
      <c r="G87" s="7">
        <v>2019</v>
      </c>
      <c r="H87" s="7" t="str">
        <f>CONCATENATE("94240509821")</f>
        <v>94240509821</v>
      </c>
      <c r="I87" s="7" t="s">
        <v>32</v>
      </c>
      <c r="J87" s="7" t="s">
        <v>33</v>
      </c>
      <c r="K87" s="7">
        <f>CONCATENATE("")</f>
      </c>
      <c r="L87" s="7" t="str">
        <f>CONCATENATE("11 11.2 4b")</f>
        <v>11 11.2 4b</v>
      </c>
      <c r="M87" s="7" t="str">
        <f>CONCATENATE("02452270412")</f>
        <v>02452270412</v>
      </c>
      <c r="N87" s="7" t="s">
        <v>145</v>
      </c>
      <c r="O87" s="7" t="s">
        <v>53</v>
      </c>
      <c r="P87" s="7" t="s">
        <v>36</v>
      </c>
      <c r="Q87" s="7" t="s">
        <v>37</v>
      </c>
      <c r="R87" s="7" t="s">
        <v>38</v>
      </c>
      <c r="S87" s="7" t="s">
        <v>39</v>
      </c>
      <c r="T87" s="7"/>
      <c r="U87" s="7">
        <v>823.07</v>
      </c>
      <c r="V87" s="7">
        <v>354.91</v>
      </c>
      <c r="W87" s="7">
        <v>327.75</v>
      </c>
      <c r="X87" s="7">
        <v>0</v>
      </c>
      <c r="Y87" s="8">
        <v>140.41</v>
      </c>
    </row>
    <row r="88" spans="1:25" ht="12.75">
      <c r="A88" s="6" t="s">
        <v>26</v>
      </c>
      <c r="B88" s="7" t="s">
        <v>27</v>
      </c>
      <c r="C88" s="7" t="s">
        <v>28</v>
      </c>
      <c r="D88" s="7" t="s">
        <v>43</v>
      </c>
      <c r="E88" s="7" t="s">
        <v>70</v>
      </c>
      <c r="F88" s="7" t="s">
        <v>71</v>
      </c>
      <c r="G88" s="7">
        <v>2017</v>
      </c>
      <c r="H88" s="7" t="str">
        <f>CONCATENATE("74241172712")</f>
        <v>74241172712</v>
      </c>
      <c r="I88" s="7" t="s">
        <v>32</v>
      </c>
      <c r="J88" s="7" t="s">
        <v>33</v>
      </c>
      <c r="K88" s="7">
        <f>CONCATENATE("")</f>
      </c>
      <c r="L88" s="7" t="str">
        <f>CONCATENATE("11 11.2 4b")</f>
        <v>11 11.2 4b</v>
      </c>
      <c r="M88" s="7" t="str">
        <f>CONCATENATE("PLLMTR27E58A271O")</f>
        <v>PLLMTR27E58A271O</v>
      </c>
      <c r="N88" s="7" t="s">
        <v>146</v>
      </c>
      <c r="O88" s="7" t="s">
        <v>53</v>
      </c>
      <c r="P88" s="7" t="s">
        <v>36</v>
      </c>
      <c r="Q88" s="7" t="s">
        <v>37</v>
      </c>
      <c r="R88" s="7" t="s">
        <v>38</v>
      </c>
      <c r="S88" s="7" t="s">
        <v>39</v>
      </c>
      <c r="T88" s="7"/>
      <c r="U88" s="7">
        <v>2800.23</v>
      </c>
      <c r="V88" s="7">
        <v>1207.46</v>
      </c>
      <c r="W88" s="7">
        <v>1115.05</v>
      </c>
      <c r="X88" s="7">
        <v>0</v>
      </c>
      <c r="Y88" s="8">
        <v>477.72</v>
      </c>
    </row>
    <row r="89" spans="1:25" ht="12.75">
      <c r="A89" s="6" t="s">
        <v>26</v>
      </c>
      <c r="B89" s="7" t="s">
        <v>27</v>
      </c>
      <c r="C89" s="7" t="s">
        <v>28</v>
      </c>
      <c r="D89" s="7" t="s">
        <v>50</v>
      </c>
      <c r="E89" s="7" t="s">
        <v>40</v>
      </c>
      <c r="F89" s="7" t="s">
        <v>54</v>
      </c>
      <c r="G89" s="7">
        <v>2019</v>
      </c>
      <c r="H89" s="7" t="str">
        <f>CONCATENATE("94240185135")</f>
        <v>94240185135</v>
      </c>
      <c r="I89" s="7" t="s">
        <v>32</v>
      </c>
      <c r="J89" s="7" t="s">
        <v>33</v>
      </c>
      <c r="K89" s="7">
        <f>CONCATENATE("")</f>
      </c>
      <c r="L89" s="7" t="str">
        <f>CONCATENATE("11 11.2 4b")</f>
        <v>11 11.2 4b</v>
      </c>
      <c r="M89" s="7" t="str">
        <f>CONCATENATE("SCCMHL61L22G514L")</f>
        <v>SCCMHL61L22G514L</v>
      </c>
      <c r="N89" s="7" t="s">
        <v>147</v>
      </c>
      <c r="O89" s="7" t="s">
        <v>53</v>
      </c>
      <c r="P89" s="7" t="s">
        <v>36</v>
      </c>
      <c r="Q89" s="7" t="s">
        <v>37</v>
      </c>
      <c r="R89" s="7" t="s">
        <v>38</v>
      </c>
      <c r="S89" s="7" t="s">
        <v>39</v>
      </c>
      <c r="T89" s="7"/>
      <c r="U89" s="7">
        <v>1215.23</v>
      </c>
      <c r="V89" s="7">
        <v>524.01</v>
      </c>
      <c r="W89" s="7">
        <v>483.9</v>
      </c>
      <c r="X89" s="7">
        <v>0</v>
      </c>
      <c r="Y89" s="8">
        <v>207.32</v>
      </c>
    </row>
    <row r="90" spans="1:25" ht="12.75">
      <c r="A90" s="6" t="s">
        <v>26</v>
      </c>
      <c r="B90" s="7" t="s">
        <v>27</v>
      </c>
      <c r="C90" s="7" t="s">
        <v>28</v>
      </c>
      <c r="D90" s="7" t="s">
        <v>47</v>
      </c>
      <c r="E90" s="7" t="s">
        <v>30</v>
      </c>
      <c r="F90" s="7" t="s">
        <v>148</v>
      </c>
      <c r="G90" s="7">
        <v>2018</v>
      </c>
      <c r="H90" s="7" t="str">
        <f>CONCATENATE("84241060213")</f>
        <v>84241060213</v>
      </c>
      <c r="I90" s="7" t="s">
        <v>32</v>
      </c>
      <c r="J90" s="7" t="s">
        <v>33</v>
      </c>
      <c r="K90" s="7">
        <f>CONCATENATE("")</f>
      </c>
      <c r="L90" s="7" t="str">
        <f>CONCATENATE("11 11.2 4b")</f>
        <v>11 11.2 4b</v>
      </c>
      <c r="M90" s="7" t="str">
        <f>CONCATENATE("02341960447")</f>
        <v>02341960447</v>
      </c>
      <c r="N90" s="7" t="s">
        <v>149</v>
      </c>
      <c r="O90" s="7" t="s">
        <v>144</v>
      </c>
      <c r="P90" s="7" t="s">
        <v>36</v>
      </c>
      <c r="Q90" s="7" t="s">
        <v>37</v>
      </c>
      <c r="R90" s="7" t="s">
        <v>38</v>
      </c>
      <c r="S90" s="7" t="s">
        <v>39</v>
      </c>
      <c r="T90" s="7"/>
      <c r="U90" s="7">
        <v>114.39</v>
      </c>
      <c r="V90" s="7">
        <v>49.32</v>
      </c>
      <c r="W90" s="7">
        <v>45.55</v>
      </c>
      <c r="X90" s="7">
        <v>0</v>
      </c>
      <c r="Y90" s="8">
        <v>19.52</v>
      </c>
    </row>
    <row r="91" spans="1:25" ht="12.75">
      <c r="A91" s="6" t="s">
        <v>26</v>
      </c>
      <c r="B91" s="7" t="s">
        <v>27</v>
      </c>
      <c r="C91" s="7" t="s">
        <v>28</v>
      </c>
      <c r="D91" s="7" t="s">
        <v>47</v>
      </c>
      <c r="E91" s="7" t="s">
        <v>121</v>
      </c>
      <c r="F91" s="7" t="s">
        <v>150</v>
      </c>
      <c r="G91" s="7">
        <v>2018</v>
      </c>
      <c r="H91" s="7" t="str">
        <f>CONCATENATE("84240979223")</f>
        <v>84240979223</v>
      </c>
      <c r="I91" s="7" t="s">
        <v>32</v>
      </c>
      <c r="J91" s="7" t="s">
        <v>33</v>
      </c>
      <c r="K91" s="7">
        <f>CONCATENATE("")</f>
      </c>
      <c r="L91" s="7" t="str">
        <f>CONCATENATE("11 11.1 4b")</f>
        <v>11 11.1 4b</v>
      </c>
      <c r="M91" s="7" t="str">
        <f>CONCATENATE("BNNRRT41H64I441K")</f>
        <v>BNNRRT41H64I441K</v>
      </c>
      <c r="N91" s="7" t="s">
        <v>151</v>
      </c>
      <c r="O91" s="7" t="s">
        <v>144</v>
      </c>
      <c r="P91" s="7" t="s">
        <v>36</v>
      </c>
      <c r="Q91" s="7" t="s">
        <v>37</v>
      </c>
      <c r="R91" s="7" t="s">
        <v>38</v>
      </c>
      <c r="S91" s="7" t="s">
        <v>39</v>
      </c>
      <c r="T91" s="7"/>
      <c r="U91" s="7">
        <v>394.94</v>
      </c>
      <c r="V91" s="7">
        <v>170.3</v>
      </c>
      <c r="W91" s="7">
        <v>157.27</v>
      </c>
      <c r="X91" s="7">
        <v>0</v>
      </c>
      <c r="Y91" s="8">
        <v>67.37</v>
      </c>
    </row>
    <row r="92" spans="1:25" ht="12.75">
      <c r="A92" s="6" t="s">
        <v>26</v>
      </c>
      <c r="B92" s="7" t="s">
        <v>27</v>
      </c>
      <c r="C92" s="7" t="s">
        <v>28</v>
      </c>
      <c r="D92" s="7" t="s">
        <v>47</v>
      </c>
      <c r="E92" s="7" t="s">
        <v>58</v>
      </c>
      <c r="F92" s="7" t="s">
        <v>152</v>
      </c>
      <c r="G92" s="7">
        <v>2018</v>
      </c>
      <c r="H92" s="7" t="str">
        <f>CONCATENATE("84240745475")</f>
        <v>84240745475</v>
      </c>
      <c r="I92" s="7" t="s">
        <v>32</v>
      </c>
      <c r="J92" s="7" t="s">
        <v>33</v>
      </c>
      <c r="K92" s="7">
        <f>CONCATENATE("")</f>
      </c>
      <c r="L92" s="7" t="str">
        <f>CONCATENATE("11 11.1 4b")</f>
        <v>11 11.1 4b</v>
      </c>
      <c r="M92" s="7" t="str">
        <f>CONCATENATE("TLMGPP37E68E868H")</f>
        <v>TLMGPP37E68E868H</v>
      </c>
      <c r="N92" s="7" t="s">
        <v>153</v>
      </c>
      <c r="O92" s="7" t="s">
        <v>144</v>
      </c>
      <c r="P92" s="7" t="s">
        <v>36</v>
      </c>
      <c r="Q92" s="7" t="s">
        <v>37</v>
      </c>
      <c r="R92" s="7" t="s">
        <v>38</v>
      </c>
      <c r="S92" s="7" t="s">
        <v>39</v>
      </c>
      <c r="T92" s="7"/>
      <c r="U92" s="7">
        <v>3504.08</v>
      </c>
      <c r="V92" s="7">
        <v>1510.96</v>
      </c>
      <c r="W92" s="7">
        <v>1395.32</v>
      </c>
      <c r="X92" s="7">
        <v>0</v>
      </c>
      <c r="Y92" s="8">
        <v>597.8</v>
      </c>
    </row>
    <row r="93" spans="1:25" ht="12.75">
      <c r="A93" s="6" t="s">
        <v>26</v>
      </c>
      <c r="B93" s="7" t="s">
        <v>27</v>
      </c>
      <c r="C93" s="7" t="s">
        <v>28</v>
      </c>
      <c r="D93" s="7" t="s">
        <v>50</v>
      </c>
      <c r="E93" s="7" t="s">
        <v>121</v>
      </c>
      <c r="F93" s="7" t="s">
        <v>122</v>
      </c>
      <c r="G93" s="7">
        <v>2019</v>
      </c>
      <c r="H93" s="7" t="str">
        <f>CONCATENATE("94241014623")</f>
        <v>94241014623</v>
      </c>
      <c r="I93" s="7" t="s">
        <v>32</v>
      </c>
      <c r="J93" s="7" t="s">
        <v>33</v>
      </c>
      <c r="K93" s="7">
        <f>CONCATENATE("")</f>
      </c>
      <c r="L93" s="7" t="str">
        <f>CONCATENATE("11 11.2 4b")</f>
        <v>11 11.2 4b</v>
      </c>
      <c r="M93" s="7" t="str">
        <f>CONCATENATE("02572310411")</f>
        <v>02572310411</v>
      </c>
      <c r="N93" s="7" t="s">
        <v>154</v>
      </c>
      <c r="O93" s="7" t="s">
        <v>144</v>
      </c>
      <c r="P93" s="7" t="s">
        <v>36</v>
      </c>
      <c r="Q93" s="7" t="s">
        <v>37</v>
      </c>
      <c r="R93" s="7" t="s">
        <v>38</v>
      </c>
      <c r="S93" s="7" t="s">
        <v>39</v>
      </c>
      <c r="T93" s="7"/>
      <c r="U93" s="7">
        <v>136.72</v>
      </c>
      <c r="V93" s="7">
        <v>58.95</v>
      </c>
      <c r="W93" s="7">
        <v>54.44</v>
      </c>
      <c r="X93" s="7">
        <v>0</v>
      </c>
      <c r="Y93" s="8">
        <v>23.33</v>
      </c>
    </row>
    <row r="94" spans="1:25" ht="12.75">
      <c r="A94" s="6" t="s">
        <v>26</v>
      </c>
      <c r="B94" s="7" t="s">
        <v>27</v>
      </c>
      <c r="C94" s="7" t="s">
        <v>28</v>
      </c>
      <c r="D94" s="7" t="s">
        <v>50</v>
      </c>
      <c r="E94" s="7" t="s">
        <v>40</v>
      </c>
      <c r="F94" s="7" t="s">
        <v>51</v>
      </c>
      <c r="G94" s="7">
        <v>2019</v>
      </c>
      <c r="H94" s="7" t="str">
        <f>CONCATENATE("94240317027")</f>
        <v>94240317027</v>
      </c>
      <c r="I94" s="7" t="s">
        <v>32</v>
      </c>
      <c r="J94" s="7" t="s">
        <v>33</v>
      </c>
      <c r="K94" s="7">
        <f>CONCATENATE("")</f>
      </c>
      <c r="L94" s="7" t="str">
        <f>CONCATENATE("11 11.2 4b")</f>
        <v>11 11.2 4b</v>
      </c>
      <c r="M94" s="7" t="str">
        <f>CONCATENATE("RCLLNZ74L07L500H")</f>
        <v>RCLLNZ74L07L500H</v>
      </c>
      <c r="N94" s="7" t="s">
        <v>155</v>
      </c>
      <c r="O94" s="7" t="s">
        <v>144</v>
      </c>
      <c r="P94" s="7" t="s">
        <v>36</v>
      </c>
      <c r="Q94" s="7" t="s">
        <v>37</v>
      </c>
      <c r="R94" s="7" t="s">
        <v>38</v>
      </c>
      <c r="S94" s="7" t="s">
        <v>39</v>
      </c>
      <c r="T94" s="7"/>
      <c r="U94" s="7">
        <v>573.86</v>
      </c>
      <c r="V94" s="7">
        <v>247.45</v>
      </c>
      <c r="W94" s="7">
        <v>228.51</v>
      </c>
      <c r="X94" s="7">
        <v>0</v>
      </c>
      <c r="Y94" s="8">
        <v>97.9</v>
      </c>
    </row>
    <row r="95" spans="1:25" ht="12.75">
      <c r="A95" s="6" t="s">
        <v>26</v>
      </c>
      <c r="B95" s="7" t="s">
        <v>27</v>
      </c>
      <c r="C95" s="7" t="s">
        <v>28</v>
      </c>
      <c r="D95" s="7" t="s">
        <v>50</v>
      </c>
      <c r="E95" s="7" t="s">
        <v>48</v>
      </c>
      <c r="F95" s="7" t="s">
        <v>48</v>
      </c>
      <c r="G95" s="7">
        <v>2019</v>
      </c>
      <c r="H95" s="7" t="str">
        <f>CONCATENATE("94241214389")</f>
        <v>94241214389</v>
      </c>
      <c r="I95" s="7" t="s">
        <v>32</v>
      </c>
      <c r="J95" s="7" t="s">
        <v>33</v>
      </c>
      <c r="K95" s="7">
        <f>CONCATENATE("")</f>
      </c>
      <c r="L95" s="7" t="str">
        <f>CONCATENATE("11 11.2 4b")</f>
        <v>11 11.2 4b</v>
      </c>
      <c r="M95" s="7" t="str">
        <f>CONCATENATE("01379190414")</f>
        <v>01379190414</v>
      </c>
      <c r="N95" s="7" t="s">
        <v>156</v>
      </c>
      <c r="O95" s="7" t="s">
        <v>144</v>
      </c>
      <c r="P95" s="7" t="s">
        <v>36</v>
      </c>
      <c r="Q95" s="7" t="s">
        <v>37</v>
      </c>
      <c r="R95" s="7" t="s">
        <v>38</v>
      </c>
      <c r="S95" s="7" t="s">
        <v>39</v>
      </c>
      <c r="T95" s="7"/>
      <c r="U95" s="7">
        <v>59630.34</v>
      </c>
      <c r="V95" s="7">
        <v>25712.6</v>
      </c>
      <c r="W95" s="7">
        <v>23744.8</v>
      </c>
      <c r="X95" s="7">
        <v>0</v>
      </c>
      <c r="Y95" s="8">
        <v>10172.94</v>
      </c>
    </row>
    <row r="96" spans="1:25" ht="12.75">
      <c r="A96" s="6" t="s">
        <v>26</v>
      </c>
      <c r="B96" s="7" t="s">
        <v>27</v>
      </c>
      <c r="C96" s="7" t="s">
        <v>28</v>
      </c>
      <c r="D96" s="7" t="s">
        <v>47</v>
      </c>
      <c r="E96" s="7" t="s">
        <v>48</v>
      </c>
      <c r="F96" s="7" t="s">
        <v>48</v>
      </c>
      <c r="G96" s="7">
        <v>2018</v>
      </c>
      <c r="H96" s="7" t="str">
        <f>CONCATENATE("84240960868")</f>
        <v>84240960868</v>
      </c>
      <c r="I96" s="7" t="s">
        <v>32</v>
      </c>
      <c r="J96" s="7" t="s">
        <v>33</v>
      </c>
      <c r="K96" s="7">
        <f>CONCATENATE("")</f>
      </c>
      <c r="L96" s="7" t="str">
        <f>CONCATENATE("11 11.2 4b")</f>
        <v>11 11.2 4b</v>
      </c>
      <c r="M96" s="7" t="str">
        <f>CONCATENATE("CTNGPP65S17H769N")</f>
        <v>CTNGPP65S17H769N</v>
      </c>
      <c r="N96" s="7" t="s">
        <v>157</v>
      </c>
      <c r="O96" s="7" t="s">
        <v>144</v>
      </c>
      <c r="P96" s="7" t="s">
        <v>36</v>
      </c>
      <c r="Q96" s="7" t="s">
        <v>37</v>
      </c>
      <c r="R96" s="7" t="s">
        <v>38</v>
      </c>
      <c r="S96" s="7" t="s">
        <v>39</v>
      </c>
      <c r="T96" s="7"/>
      <c r="U96" s="7">
        <v>1975.63</v>
      </c>
      <c r="V96" s="7">
        <v>851.89</v>
      </c>
      <c r="W96" s="7">
        <v>786.7</v>
      </c>
      <c r="X96" s="7">
        <v>0</v>
      </c>
      <c r="Y96" s="8">
        <v>337.04</v>
      </c>
    </row>
    <row r="97" spans="1:25" ht="12.75">
      <c r="A97" s="6" t="s">
        <v>26</v>
      </c>
      <c r="B97" s="7" t="s">
        <v>27</v>
      </c>
      <c r="C97" s="7" t="s">
        <v>28</v>
      </c>
      <c r="D97" s="7" t="s">
        <v>50</v>
      </c>
      <c r="E97" s="7" t="s">
        <v>40</v>
      </c>
      <c r="F97" s="7" t="s">
        <v>51</v>
      </c>
      <c r="G97" s="7">
        <v>2019</v>
      </c>
      <c r="H97" s="7" t="str">
        <f>CONCATENATE("94240602428")</f>
        <v>94240602428</v>
      </c>
      <c r="I97" s="7" t="s">
        <v>32</v>
      </c>
      <c r="J97" s="7" t="s">
        <v>33</v>
      </c>
      <c r="K97" s="7">
        <f>CONCATENATE("")</f>
      </c>
      <c r="L97" s="7" t="str">
        <f>CONCATENATE("11 11.2 4b")</f>
        <v>11 11.2 4b</v>
      </c>
      <c r="M97" s="7" t="str">
        <f>CONCATENATE("02683880419")</f>
        <v>02683880419</v>
      </c>
      <c r="N97" s="7" t="s">
        <v>158</v>
      </c>
      <c r="O97" s="7" t="s">
        <v>144</v>
      </c>
      <c r="P97" s="7" t="s">
        <v>36</v>
      </c>
      <c r="Q97" s="7" t="s">
        <v>37</v>
      </c>
      <c r="R97" s="7" t="s">
        <v>38</v>
      </c>
      <c r="S97" s="7" t="s">
        <v>39</v>
      </c>
      <c r="T97" s="7"/>
      <c r="U97" s="7">
        <v>1295.36</v>
      </c>
      <c r="V97" s="7">
        <v>558.56</v>
      </c>
      <c r="W97" s="7">
        <v>515.81</v>
      </c>
      <c r="X97" s="7">
        <v>0</v>
      </c>
      <c r="Y97" s="8">
        <v>220.99</v>
      </c>
    </row>
    <row r="98" spans="1:25" ht="12.75">
      <c r="A98" s="6" t="s">
        <v>26</v>
      </c>
      <c r="B98" s="7" t="s">
        <v>27</v>
      </c>
      <c r="C98" s="7" t="s">
        <v>28</v>
      </c>
      <c r="D98" s="7" t="s">
        <v>50</v>
      </c>
      <c r="E98" s="7" t="s">
        <v>40</v>
      </c>
      <c r="F98" s="7" t="s">
        <v>54</v>
      </c>
      <c r="G98" s="7">
        <v>2019</v>
      </c>
      <c r="H98" s="7" t="str">
        <f>CONCATENATE("94240702251")</f>
        <v>94240702251</v>
      </c>
      <c r="I98" s="7" t="s">
        <v>32</v>
      </c>
      <c r="J98" s="7" t="s">
        <v>33</v>
      </c>
      <c r="K98" s="7">
        <f>CONCATENATE("")</f>
      </c>
      <c r="L98" s="7" t="str">
        <f>CONCATENATE("11 11.2 4b")</f>
        <v>11 11.2 4b</v>
      </c>
      <c r="M98" s="7" t="str">
        <f>CONCATENATE("02686020419")</f>
        <v>02686020419</v>
      </c>
      <c r="N98" s="7" t="s">
        <v>159</v>
      </c>
      <c r="O98" s="7" t="s">
        <v>99</v>
      </c>
      <c r="P98" s="7" t="s">
        <v>36</v>
      </c>
      <c r="Q98" s="7" t="s">
        <v>37</v>
      </c>
      <c r="R98" s="7" t="s">
        <v>38</v>
      </c>
      <c r="S98" s="7" t="s">
        <v>39</v>
      </c>
      <c r="T98" s="7"/>
      <c r="U98" s="7">
        <v>334.23</v>
      </c>
      <c r="V98" s="7">
        <v>144.12</v>
      </c>
      <c r="W98" s="7">
        <v>133.09</v>
      </c>
      <c r="X98" s="7">
        <v>0</v>
      </c>
      <c r="Y98" s="8">
        <v>57.02</v>
      </c>
    </row>
    <row r="99" spans="1:25" ht="12.75">
      <c r="A99" s="6" t="s">
        <v>26</v>
      </c>
      <c r="B99" s="7" t="s">
        <v>27</v>
      </c>
      <c r="C99" s="7" t="s">
        <v>28</v>
      </c>
      <c r="D99" s="7" t="s">
        <v>43</v>
      </c>
      <c r="E99" s="7" t="s">
        <v>70</v>
      </c>
      <c r="F99" s="7" t="s">
        <v>160</v>
      </c>
      <c r="G99" s="7">
        <v>2019</v>
      </c>
      <c r="H99" s="7" t="str">
        <f>CONCATENATE("94240090939")</f>
        <v>94240090939</v>
      </c>
      <c r="I99" s="7" t="s">
        <v>32</v>
      </c>
      <c r="J99" s="7" t="s">
        <v>33</v>
      </c>
      <c r="K99" s="7">
        <f>CONCATENATE("")</f>
      </c>
      <c r="L99" s="7" t="str">
        <f>CONCATENATE("11 11.2 4b")</f>
        <v>11 11.2 4b</v>
      </c>
      <c r="M99" s="7" t="str">
        <f>CONCATENATE("02803630421")</f>
        <v>02803630421</v>
      </c>
      <c r="N99" s="7" t="s">
        <v>161</v>
      </c>
      <c r="O99" s="7" t="s">
        <v>92</v>
      </c>
      <c r="P99" s="7" t="s">
        <v>36</v>
      </c>
      <c r="Q99" s="7" t="s">
        <v>37</v>
      </c>
      <c r="R99" s="7" t="s">
        <v>38</v>
      </c>
      <c r="S99" s="7" t="s">
        <v>39</v>
      </c>
      <c r="T99" s="7"/>
      <c r="U99" s="7">
        <v>332.33</v>
      </c>
      <c r="V99" s="7">
        <v>143.3</v>
      </c>
      <c r="W99" s="7">
        <v>132.33</v>
      </c>
      <c r="X99" s="7">
        <v>0</v>
      </c>
      <c r="Y99" s="8">
        <v>56.7</v>
      </c>
    </row>
    <row r="100" spans="1:25" ht="12.75">
      <c r="A100" s="6" t="s">
        <v>26</v>
      </c>
      <c r="B100" s="7" t="s">
        <v>27</v>
      </c>
      <c r="C100" s="7" t="s">
        <v>28</v>
      </c>
      <c r="D100" s="7" t="s">
        <v>43</v>
      </c>
      <c r="E100" s="7" t="s">
        <v>70</v>
      </c>
      <c r="F100" s="7" t="s">
        <v>162</v>
      </c>
      <c r="G100" s="7">
        <v>2019</v>
      </c>
      <c r="H100" s="7" t="str">
        <f>CONCATENATE("94240444268")</f>
        <v>94240444268</v>
      </c>
      <c r="I100" s="7" t="s">
        <v>32</v>
      </c>
      <c r="J100" s="7" t="s">
        <v>33</v>
      </c>
      <c r="K100" s="7">
        <f>CONCATENATE("")</f>
      </c>
      <c r="L100" s="7" t="str">
        <f>CONCATENATE("11 11.1 4b")</f>
        <v>11 11.1 4b</v>
      </c>
      <c r="M100" s="7" t="str">
        <f>CONCATENATE("02788490429")</f>
        <v>02788490429</v>
      </c>
      <c r="N100" s="7" t="s">
        <v>163</v>
      </c>
      <c r="O100" s="7" t="s">
        <v>92</v>
      </c>
      <c r="P100" s="7" t="s">
        <v>36</v>
      </c>
      <c r="Q100" s="7" t="s">
        <v>37</v>
      </c>
      <c r="R100" s="7" t="s">
        <v>38</v>
      </c>
      <c r="S100" s="7" t="s">
        <v>39</v>
      </c>
      <c r="T100" s="7"/>
      <c r="U100" s="7">
        <v>1327.09</v>
      </c>
      <c r="V100" s="7">
        <v>572.24</v>
      </c>
      <c r="W100" s="7">
        <v>528.45</v>
      </c>
      <c r="X100" s="7">
        <v>0</v>
      </c>
      <c r="Y100" s="8">
        <v>226.4</v>
      </c>
    </row>
    <row r="101" spans="1:25" ht="12.75">
      <c r="A101" s="6" t="s">
        <v>26</v>
      </c>
      <c r="B101" s="7" t="s">
        <v>27</v>
      </c>
      <c r="C101" s="7" t="s">
        <v>28</v>
      </c>
      <c r="D101" s="7" t="s">
        <v>43</v>
      </c>
      <c r="E101" s="7" t="s">
        <v>70</v>
      </c>
      <c r="F101" s="7" t="s">
        <v>96</v>
      </c>
      <c r="G101" s="7">
        <v>2019</v>
      </c>
      <c r="H101" s="7" t="str">
        <f>CONCATENATE("94240516388")</f>
        <v>94240516388</v>
      </c>
      <c r="I101" s="7" t="s">
        <v>32</v>
      </c>
      <c r="J101" s="7" t="s">
        <v>33</v>
      </c>
      <c r="K101" s="7">
        <f>CONCATENATE("")</f>
      </c>
      <c r="L101" s="7" t="str">
        <f>CONCATENATE("11 11.1 4b")</f>
        <v>11 11.1 4b</v>
      </c>
      <c r="M101" s="7" t="str">
        <f>CONCATENATE("MNRDVD95H22I608R")</f>
        <v>MNRDVD95H22I608R</v>
      </c>
      <c r="N101" s="7" t="s">
        <v>164</v>
      </c>
      <c r="O101" s="7" t="s">
        <v>92</v>
      </c>
      <c r="P101" s="7" t="s">
        <v>36</v>
      </c>
      <c r="Q101" s="7" t="s">
        <v>37</v>
      </c>
      <c r="R101" s="7" t="s">
        <v>38</v>
      </c>
      <c r="S101" s="7" t="s">
        <v>39</v>
      </c>
      <c r="T101" s="7"/>
      <c r="U101" s="7">
        <v>716.19</v>
      </c>
      <c r="V101" s="7">
        <v>308.82</v>
      </c>
      <c r="W101" s="7">
        <v>285.19</v>
      </c>
      <c r="X101" s="7">
        <v>0</v>
      </c>
      <c r="Y101" s="8">
        <v>122.18</v>
      </c>
    </row>
    <row r="102" spans="1:25" ht="12.75">
      <c r="A102" s="6" t="s">
        <v>26</v>
      </c>
      <c r="B102" s="7" t="s">
        <v>27</v>
      </c>
      <c r="C102" s="7" t="s">
        <v>28</v>
      </c>
      <c r="D102" s="7" t="s">
        <v>50</v>
      </c>
      <c r="E102" s="7" t="s">
        <v>70</v>
      </c>
      <c r="F102" s="7" t="s">
        <v>101</v>
      </c>
      <c r="G102" s="7">
        <v>2018</v>
      </c>
      <c r="H102" s="7" t="str">
        <f>CONCATENATE("84240727812")</f>
        <v>84240727812</v>
      </c>
      <c r="I102" s="7" t="s">
        <v>32</v>
      </c>
      <c r="J102" s="7" t="s">
        <v>33</v>
      </c>
      <c r="K102" s="7">
        <f>CONCATENATE("")</f>
      </c>
      <c r="L102" s="7" t="str">
        <f>CONCATENATE("11 11.1 4b")</f>
        <v>11 11.1 4b</v>
      </c>
      <c r="M102" s="7" t="str">
        <f>CONCATENATE("SDRMRA28P15A639I")</f>
        <v>SDRMRA28P15A639I</v>
      </c>
      <c r="N102" s="7" t="s">
        <v>165</v>
      </c>
      <c r="O102" s="7" t="s">
        <v>99</v>
      </c>
      <c r="P102" s="7" t="s">
        <v>36</v>
      </c>
      <c r="Q102" s="7" t="s">
        <v>37</v>
      </c>
      <c r="R102" s="7" t="s">
        <v>38</v>
      </c>
      <c r="S102" s="7" t="s">
        <v>39</v>
      </c>
      <c r="T102" s="7"/>
      <c r="U102" s="7">
        <v>561.36</v>
      </c>
      <c r="V102" s="7">
        <v>242.06</v>
      </c>
      <c r="W102" s="7">
        <v>223.53</v>
      </c>
      <c r="X102" s="7">
        <v>0</v>
      </c>
      <c r="Y102" s="8">
        <v>95.77</v>
      </c>
    </row>
    <row r="103" spans="1:25" ht="12.75">
      <c r="A103" s="6" t="s">
        <v>26</v>
      </c>
      <c r="B103" s="7" t="s">
        <v>27</v>
      </c>
      <c r="C103" s="7" t="s">
        <v>28</v>
      </c>
      <c r="D103" s="7" t="s">
        <v>50</v>
      </c>
      <c r="E103" s="7" t="s">
        <v>70</v>
      </c>
      <c r="F103" s="7" t="s">
        <v>101</v>
      </c>
      <c r="G103" s="7">
        <v>2019</v>
      </c>
      <c r="H103" s="7" t="str">
        <f>CONCATENATE("94240426273")</f>
        <v>94240426273</v>
      </c>
      <c r="I103" s="7" t="s">
        <v>32</v>
      </c>
      <c r="J103" s="7" t="s">
        <v>33</v>
      </c>
      <c r="K103" s="7">
        <f>CONCATENATE("")</f>
      </c>
      <c r="L103" s="7" t="str">
        <f>CONCATENATE("11 11.1 4b")</f>
        <v>11 11.1 4b</v>
      </c>
      <c r="M103" s="7" t="str">
        <f>CONCATENATE("SDRMRA28P15A639I")</f>
        <v>SDRMRA28P15A639I</v>
      </c>
      <c r="N103" s="7" t="s">
        <v>165</v>
      </c>
      <c r="O103" s="7" t="s">
        <v>99</v>
      </c>
      <c r="P103" s="7" t="s">
        <v>36</v>
      </c>
      <c r="Q103" s="7" t="s">
        <v>37</v>
      </c>
      <c r="R103" s="7" t="s">
        <v>38</v>
      </c>
      <c r="S103" s="7" t="s">
        <v>39</v>
      </c>
      <c r="T103" s="7"/>
      <c r="U103" s="7">
        <v>561.36</v>
      </c>
      <c r="V103" s="7">
        <v>242.06</v>
      </c>
      <c r="W103" s="7">
        <v>223.53</v>
      </c>
      <c r="X103" s="7">
        <v>0</v>
      </c>
      <c r="Y103" s="8">
        <v>95.77</v>
      </c>
    </row>
    <row r="104" spans="1:25" ht="12.75">
      <c r="A104" s="6" t="s">
        <v>26</v>
      </c>
      <c r="B104" s="7" t="s">
        <v>27</v>
      </c>
      <c r="C104" s="7" t="s">
        <v>28</v>
      </c>
      <c r="D104" s="7" t="s">
        <v>50</v>
      </c>
      <c r="E104" s="7" t="s">
        <v>40</v>
      </c>
      <c r="F104" s="7" t="s">
        <v>54</v>
      </c>
      <c r="G104" s="7">
        <v>2019</v>
      </c>
      <c r="H104" s="7" t="str">
        <f>CONCATENATE("94240584998")</f>
        <v>94240584998</v>
      </c>
      <c r="I104" s="7" t="s">
        <v>32</v>
      </c>
      <c r="J104" s="7" t="s">
        <v>33</v>
      </c>
      <c r="K104" s="7">
        <f>CONCATENATE("")</f>
      </c>
      <c r="L104" s="7" t="str">
        <f>CONCATENATE("11 11.2 4b")</f>
        <v>11 11.2 4b</v>
      </c>
      <c r="M104" s="7" t="str">
        <f>CONCATENATE("SLTMCL67E20I459M")</f>
        <v>SLTMCL67E20I459M</v>
      </c>
      <c r="N104" s="7" t="s">
        <v>166</v>
      </c>
      <c r="O104" s="7" t="s">
        <v>99</v>
      </c>
      <c r="P104" s="7" t="s">
        <v>36</v>
      </c>
      <c r="Q104" s="7" t="s">
        <v>37</v>
      </c>
      <c r="R104" s="7" t="s">
        <v>38</v>
      </c>
      <c r="S104" s="7" t="s">
        <v>39</v>
      </c>
      <c r="T104" s="7"/>
      <c r="U104" s="7">
        <v>207.75</v>
      </c>
      <c r="V104" s="7">
        <v>89.58</v>
      </c>
      <c r="W104" s="7">
        <v>82.73</v>
      </c>
      <c r="X104" s="7">
        <v>0</v>
      </c>
      <c r="Y104" s="8">
        <v>35.44</v>
      </c>
    </row>
    <row r="105" spans="1:25" ht="12.75">
      <c r="A105" s="6" t="s">
        <v>26</v>
      </c>
      <c r="B105" s="7" t="s">
        <v>27</v>
      </c>
      <c r="C105" s="7" t="s">
        <v>28</v>
      </c>
      <c r="D105" s="7" t="s">
        <v>50</v>
      </c>
      <c r="E105" s="7" t="s">
        <v>40</v>
      </c>
      <c r="F105" s="7" t="s">
        <v>54</v>
      </c>
      <c r="G105" s="7">
        <v>2019</v>
      </c>
      <c r="H105" s="7" t="str">
        <f>CONCATENATE("94240702194")</f>
        <v>94240702194</v>
      </c>
      <c r="I105" s="7" t="s">
        <v>32</v>
      </c>
      <c r="J105" s="7" t="s">
        <v>33</v>
      </c>
      <c r="K105" s="7">
        <f>CONCATENATE("")</f>
      </c>
      <c r="L105" s="7" t="str">
        <f>CONCATENATE("11 11.2 4b")</f>
        <v>11 11.2 4b</v>
      </c>
      <c r="M105" s="7" t="str">
        <f>CONCATENATE("02688080411")</f>
        <v>02688080411</v>
      </c>
      <c r="N105" s="7" t="s">
        <v>167</v>
      </c>
      <c r="O105" s="7" t="s">
        <v>99</v>
      </c>
      <c r="P105" s="7" t="s">
        <v>36</v>
      </c>
      <c r="Q105" s="7" t="s">
        <v>37</v>
      </c>
      <c r="R105" s="7" t="s">
        <v>38</v>
      </c>
      <c r="S105" s="7" t="s">
        <v>39</v>
      </c>
      <c r="T105" s="7"/>
      <c r="U105" s="7">
        <v>2502.58</v>
      </c>
      <c r="V105" s="7">
        <v>1079.11</v>
      </c>
      <c r="W105" s="7">
        <v>996.53</v>
      </c>
      <c r="X105" s="7">
        <v>0</v>
      </c>
      <c r="Y105" s="8">
        <v>426.94</v>
      </c>
    </row>
    <row r="106" spans="1:25" ht="12.75">
      <c r="A106" s="6" t="s">
        <v>26</v>
      </c>
      <c r="B106" s="7" t="s">
        <v>27</v>
      </c>
      <c r="C106" s="7" t="s">
        <v>28</v>
      </c>
      <c r="D106" s="7" t="s">
        <v>50</v>
      </c>
      <c r="E106" s="7" t="s">
        <v>40</v>
      </c>
      <c r="F106" s="7" t="s">
        <v>54</v>
      </c>
      <c r="G106" s="7">
        <v>2019</v>
      </c>
      <c r="H106" s="7" t="str">
        <f>CONCATENATE("94240069677")</f>
        <v>94240069677</v>
      </c>
      <c r="I106" s="7" t="s">
        <v>32</v>
      </c>
      <c r="J106" s="7" t="s">
        <v>33</v>
      </c>
      <c r="K106" s="7">
        <f>CONCATENATE("")</f>
      </c>
      <c r="L106" s="7" t="str">
        <f>CONCATENATE("11 11.2 4b")</f>
        <v>11 11.2 4b</v>
      </c>
      <c r="M106" s="7" t="str">
        <f>CONCATENATE("02208380416")</f>
        <v>02208380416</v>
      </c>
      <c r="N106" s="7" t="s">
        <v>168</v>
      </c>
      <c r="O106" s="7" t="s">
        <v>99</v>
      </c>
      <c r="P106" s="7" t="s">
        <v>36</v>
      </c>
      <c r="Q106" s="7" t="s">
        <v>37</v>
      </c>
      <c r="R106" s="7" t="s">
        <v>38</v>
      </c>
      <c r="S106" s="7" t="s">
        <v>39</v>
      </c>
      <c r="T106" s="7"/>
      <c r="U106" s="7">
        <v>523.2</v>
      </c>
      <c r="V106" s="7">
        <v>225.6</v>
      </c>
      <c r="W106" s="7">
        <v>208.34</v>
      </c>
      <c r="X106" s="7">
        <v>0</v>
      </c>
      <c r="Y106" s="8">
        <v>89.26</v>
      </c>
    </row>
    <row r="107" spans="1:25" ht="12.75">
      <c r="A107" s="6" t="s">
        <v>26</v>
      </c>
      <c r="B107" s="7" t="s">
        <v>27</v>
      </c>
      <c r="C107" s="7" t="s">
        <v>28</v>
      </c>
      <c r="D107" s="7" t="s">
        <v>50</v>
      </c>
      <c r="E107" s="7" t="s">
        <v>70</v>
      </c>
      <c r="F107" s="7" t="s">
        <v>169</v>
      </c>
      <c r="G107" s="7">
        <v>2019</v>
      </c>
      <c r="H107" s="7" t="str">
        <f>CONCATENATE("94241142325")</f>
        <v>94241142325</v>
      </c>
      <c r="I107" s="7" t="s">
        <v>32</v>
      </c>
      <c r="J107" s="7" t="s">
        <v>33</v>
      </c>
      <c r="K107" s="7">
        <f>CONCATENATE("")</f>
      </c>
      <c r="L107" s="7" t="str">
        <f>CONCATENATE("11 11.2 4b")</f>
        <v>11 11.2 4b</v>
      </c>
      <c r="M107" s="7" t="str">
        <f>CONCATENATE("LNZPLM83P51C424T")</f>
        <v>LNZPLM83P51C424T</v>
      </c>
      <c r="N107" s="7" t="s">
        <v>170</v>
      </c>
      <c r="O107" s="7" t="s">
        <v>99</v>
      </c>
      <c r="P107" s="7" t="s">
        <v>36</v>
      </c>
      <c r="Q107" s="7" t="s">
        <v>37</v>
      </c>
      <c r="R107" s="7" t="s">
        <v>38</v>
      </c>
      <c r="S107" s="7" t="s">
        <v>39</v>
      </c>
      <c r="T107" s="7"/>
      <c r="U107" s="7">
        <v>3830.59</v>
      </c>
      <c r="V107" s="7">
        <v>1651.75</v>
      </c>
      <c r="W107" s="7">
        <v>1525.34</v>
      </c>
      <c r="X107" s="7">
        <v>0</v>
      </c>
      <c r="Y107" s="8">
        <v>653.5</v>
      </c>
    </row>
    <row r="108" spans="1:25" ht="12.75">
      <c r="A108" s="6" t="s">
        <v>26</v>
      </c>
      <c r="B108" s="7" t="s">
        <v>27</v>
      </c>
      <c r="C108" s="7" t="s">
        <v>28</v>
      </c>
      <c r="D108" s="7" t="s">
        <v>50</v>
      </c>
      <c r="E108" s="7" t="s">
        <v>48</v>
      </c>
      <c r="F108" s="7" t="s">
        <v>48</v>
      </c>
      <c r="G108" s="7">
        <v>2019</v>
      </c>
      <c r="H108" s="7" t="str">
        <f>CONCATENATE("94240692759")</f>
        <v>94240692759</v>
      </c>
      <c r="I108" s="7" t="s">
        <v>32</v>
      </c>
      <c r="J108" s="7" t="s">
        <v>33</v>
      </c>
      <c r="K108" s="7">
        <f>CONCATENATE("")</f>
      </c>
      <c r="L108" s="7" t="str">
        <f>CONCATENATE("11 11.1 4b")</f>
        <v>11 11.1 4b</v>
      </c>
      <c r="M108" s="7" t="str">
        <f>CONCATENATE("GRSMNL61D65F205W")</f>
        <v>GRSMNL61D65F205W</v>
      </c>
      <c r="N108" s="7" t="s">
        <v>171</v>
      </c>
      <c r="O108" s="7" t="s">
        <v>99</v>
      </c>
      <c r="P108" s="7" t="s">
        <v>36</v>
      </c>
      <c r="Q108" s="7" t="s">
        <v>37</v>
      </c>
      <c r="R108" s="7" t="s">
        <v>38</v>
      </c>
      <c r="S108" s="7" t="s">
        <v>39</v>
      </c>
      <c r="T108" s="7"/>
      <c r="U108" s="7">
        <v>4168.43</v>
      </c>
      <c r="V108" s="7">
        <v>1797.43</v>
      </c>
      <c r="W108" s="7">
        <v>1659.87</v>
      </c>
      <c r="X108" s="7">
        <v>0</v>
      </c>
      <c r="Y108" s="8">
        <v>711.13</v>
      </c>
    </row>
    <row r="109" spans="1:25" ht="12.75">
      <c r="A109" s="6" t="s">
        <v>26</v>
      </c>
      <c r="B109" s="7" t="s">
        <v>27</v>
      </c>
      <c r="C109" s="7" t="s">
        <v>28</v>
      </c>
      <c r="D109" s="7" t="s">
        <v>50</v>
      </c>
      <c r="E109" s="7" t="s">
        <v>64</v>
      </c>
      <c r="F109" s="7" t="s">
        <v>172</v>
      </c>
      <c r="G109" s="7">
        <v>2019</v>
      </c>
      <c r="H109" s="7" t="str">
        <f>CONCATENATE("94240507395")</f>
        <v>94240507395</v>
      </c>
      <c r="I109" s="7" t="s">
        <v>32</v>
      </c>
      <c r="J109" s="7" t="s">
        <v>33</v>
      </c>
      <c r="K109" s="7">
        <f>CONCATENATE("")</f>
      </c>
      <c r="L109" s="7" t="str">
        <f>CONCATENATE("11 11.1 4b")</f>
        <v>11 11.1 4b</v>
      </c>
      <c r="M109" s="7" t="str">
        <f>CONCATENATE("02615600414")</f>
        <v>02615600414</v>
      </c>
      <c r="N109" s="7" t="s">
        <v>173</v>
      </c>
      <c r="O109" s="7" t="s">
        <v>99</v>
      </c>
      <c r="P109" s="7" t="s">
        <v>36</v>
      </c>
      <c r="Q109" s="7" t="s">
        <v>37</v>
      </c>
      <c r="R109" s="7" t="s">
        <v>38</v>
      </c>
      <c r="S109" s="7" t="s">
        <v>39</v>
      </c>
      <c r="T109" s="7"/>
      <c r="U109" s="7">
        <v>30793.06</v>
      </c>
      <c r="V109" s="7">
        <v>13277.97</v>
      </c>
      <c r="W109" s="7">
        <v>12261.8</v>
      </c>
      <c r="X109" s="7">
        <v>0</v>
      </c>
      <c r="Y109" s="8">
        <v>5253.29</v>
      </c>
    </row>
    <row r="110" spans="1:25" ht="12.75">
      <c r="A110" s="6" t="s">
        <v>26</v>
      </c>
      <c r="B110" s="7" t="s">
        <v>27</v>
      </c>
      <c r="C110" s="7" t="s">
        <v>28</v>
      </c>
      <c r="D110" s="7" t="s">
        <v>50</v>
      </c>
      <c r="E110" s="7" t="s">
        <v>30</v>
      </c>
      <c r="F110" s="7" t="s">
        <v>174</v>
      </c>
      <c r="G110" s="7">
        <v>2019</v>
      </c>
      <c r="H110" s="7" t="str">
        <f>CONCATENATE("94241730905")</f>
        <v>94241730905</v>
      </c>
      <c r="I110" s="7" t="s">
        <v>32</v>
      </c>
      <c r="J110" s="7" t="s">
        <v>33</v>
      </c>
      <c r="K110" s="7">
        <f>CONCATENATE("")</f>
      </c>
      <c r="L110" s="7" t="str">
        <f>CONCATENATE("11 11.2 4b")</f>
        <v>11 11.2 4b</v>
      </c>
      <c r="M110" s="7" t="str">
        <f>CONCATENATE("02632660417")</f>
        <v>02632660417</v>
      </c>
      <c r="N110" s="7" t="s">
        <v>175</v>
      </c>
      <c r="O110" s="7" t="s">
        <v>99</v>
      </c>
      <c r="P110" s="7" t="s">
        <v>36</v>
      </c>
      <c r="Q110" s="7" t="s">
        <v>37</v>
      </c>
      <c r="R110" s="7" t="s">
        <v>38</v>
      </c>
      <c r="S110" s="7" t="s">
        <v>39</v>
      </c>
      <c r="T110" s="7"/>
      <c r="U110" s="7">
        <v>310.36</v>
      </c>
      <c r="V110" s="7">
        <v>133.83</v>
      </c>
      <c r="W110" s="7">
        <v>123.59</v>
      </c>
      <c r="X110" s="7">
        <v>0</v>
      </c>
      <c r="Y110" s="8">
        <v>52.94</v>
      </c>
    </row>
    <row r="111" spans="1:25" ht="12.75">
      <c r="A111" s="6" t="s">
        <v>26</v>
      </c>
      <c r="B111" s="7" t="s">
        <v>27</v>
      </c>
      <c r="C111" s="7" t="s">
        <v>28</v>
      </c>
      <c r="D111" s="7" t="s">
        <v>50</v>
      </c>
      <c r="E111" s="7" t="s">
        <v>70</v>
      </c>
      <c r="F111" s="7" t="s">
        <v>101</v>
      </c>
      <c r="G111" s="7">
        <v>2018</v>
      </c>
      <c r="H111" s="7" t="str">
        <f>CONCATENATE("84240287700")</f>
        <v>84240287700</v>
      </c>
      <c r="I111" s="7" t="s">
        <v>32</v>
      </c>
      <c r="J111" s="7" t="s">
        <v>33</v>
      </c>
      <c r="K111" s="7">
        <f>CONCATENATE("")</f>
      </c>
      <c r="L111" s="7" t="str">
        <f>CONCATENATE("11 11.1 4b")</f>
        <v>11 11.1 4b</v>
      </c>
      <c r="M111" s="7" t="str">
        <f>CONCATENATE("RSSLTT56A66F581T")</f>
        <v>RSSLTT56A66F581T</v>
      </c>
      <c r="N111" s="7" t="s">
        <v>102</v>
      </c>
      <c r="O111" s="7" t="s">
        <v>99</v>
      </c>
      <c r="P111" s="7" t="s">
        <v>36</v>
      </c>
      <c r="Q111" s="7" t="s">
        <v>37</v>
      </c>
      <c r="R111" s="7" t="s">
        <v>38</v>
      </c>
      <c r="S111" s="7" t="s">
        <v>39</v>
      </c>
      <c r="T111" s="7"/>
      <c r="U111" s="7">
        <v>559.37</v>
      </c>
      <c r="V111" s="7">
        <v>241.2</v>
      </c>
      <c r="W111" s="7">
        <v>222.74</v>
      </c>
      <c r="X111" s="7">
        <v>0</v>
      </c>
      <c r="Y111" s="8">
        <v>95.43</v>
      </c>
    </row>
    <row r="112" spans="1:25" ht="12.75">
      <c r="A112" s="6" t="s">
        <v>26</v>
      </c>
      <c r="B112" s="7" t="s">
        <v>27</v>
      </c>
      <c r="C112" s="7" t="s">
        <v>28</v>
      </c>
      <c r="D112" s="7" t="s">
        <v>50</v>
      </c>
      <c r="E112" s="7" t="s">
        <v>30</v>
      </c>
      <c r="F112" s="7" t="s">
        <v>44</v>
      </c>
      <c r="G112" s="7">
        <v>2019</v>
      </c>
      <c r="H112" s="7" t="str">
        <f>CONCATENATE("94240559750")</f>
        <v>94240559750</v>
      </c>
      <c r="I112" s="7" t="s">
        <v>32</v>
      </c>
      <c r="J112" s="7" t="s">
        <v>33</v>
      </c>
      <c r="K112" s="7">
        <f>CONCATENATE("")</f>
      </c>
      <c r="L112" s="7" t="str">
        <f>CONCATENATE("11 11.2 4b")</f>
        <v>11 11.2 4b</v>
      </c>
      <c r="M112" s="7" t="str">
        <f>CONCATENATE("BTTDVD61P13D451P")</f>
        <v>BTTDVD61P13D451P</v>
      </c>
      <c r="N112" s="7" t="s">
        <v>176</v>
      </c>
      <c r="O112" s="7" t="s">
        <v>99</v>
      </c>
      <c r="P112" s="7" t="s">
        <v>36</v>
      </c>
      <c r="Q112" s="7" t="s">
        <v>37</v>
      </c>
      <c r="R112" s="7" t="s">
        <v>38</v>
      </c>
      <c r="S112" s="7" t="s">
        <v>39</v>
      </c>
      <c r="T112" s="7"/>
      <c r="U112" s="7">
        <v>121.01</v>
      </c>
      <c r="V112" s="7">
        <v>52.18</v>
      </c>
      <c r="W112" s="7">
        <v>48.19</v>
      </c>
      <c r="X112" s="7">
        <v>0</v>
      </c>
      <c r="Y112" s="8">
        <v>20.64</v>
      </c>
    </row>
    <row r="113" spans="1:25" ht="12.75">
      <c r="A113" s="6" t="s">
        <v>26</v>
      </c>
      <c r="B113" s="7" t="s">
        <v>27</v>
      </c>
      <c r="C113" s="7" t="s">
        <v>28</v>
      </c>
      <c r="D113" s="7" t="s">
        <v>50</v>
      </c>
      <c r="E113" s="7" t="s">
        <v>48</v>
      </c>
      <c r="F113" s="7" t="s">
        <v>48</v>
      </c>
      <c r="G113" s="7">
        <v>2019</v>
      </c>
      <c r="H113" s="7" t="str">
        <f>CONCATENATE("94240883341")</f>
        <v>94240883341</v>
      </c>
      <c r="I113" s="7" t="s">
        <v>32</v>
      </c>
      <c r="J113" s="7" t="s">
        <v>33</v>
      </c>
      <c r="K113" s="7">
        <f>CONCATENATE("")</f>
      </c>
      <c r="L113" s="7" t="str">
        <f>CONCATENATE("11 11.2 4b")</f>
        <v>11 11.2 4b</v>
      </c>
      <c r="M113" s="7" t="str">
        <f>CONCATENATE("02035550413")</f>
        <v>02035550413</v>
      </c>
      <c r="N113" s="7" t="s">
        <v>177</v>
      </c>
      <c r="O113" s="7" t="s">
        <v>99</v>
      </c>
      <c r="P113" s="7" t="s">
        <v>36</v>
      </c>
      <c r="Q113" s="7" t="s">
        <v>37</v>
      </c>
      <c r="R113" s="7" t="s">
        <v>38</v>
      </c>
      <c r="S113" s="7" t="s">
        <v>39</v>
      </c>
      <c r="T113" s="7"/>
      <c r="U113" s="7">
        <v>14657.67</v>
      </c>
      <c r="V113" s="7">
        <v>6320.39</v>
      </c>
      <c r="W113" s="7">
        <v>5836.68</v>
      </c>
      <c r="X113" s="7">
        <v>0</v>
      </c>
      <c r="Y113" s="8">
        <v>2500.6</v>
      </c>
    </row>
    <row r="114" spans="1:25" ht="12.75">
      <c r="A114" s="6" t="s">
        <v>26</v>
      </c>
      <c r="B114" s="7" t="s">
        <v>27</v>
      </c>
      <c r="C114" s="7" t="s">
        <v>28</v>
      </c>
      <c r="D114" s="7" t="s">
        <v>50</v>
      </c>
      <c r="E114" s="7" t="s">
        <v>48</v>
      </c>
      <c r="F114" s="7" t="s">
        <v>48</v>
      </c>
      <c r="G114" s="7">
        <v>2019</v>
      </c>
      <c r="H114" s="7" t="str">
        <f>CONCATENATE("94240898844")</f>
        <v>94240898844</v>
      </c>
      <c r="I114" s="7" t="s">
        <v>32</v>
      </c>
      <c r="J114" s="7" t="s">
        <v>33</v>
      </c>
      <c r="K114" s="7">
        <f>CONCATENATE("")</f>
      </c>
      <c r="L114" s="7" t="str">
        <f>CONCATENATE("11 11.2 4b")</f>
        <v>11 11.2 4b</v>
      </c>
      <c r="M114" s="7" t="str">
        <f>CONCATENATE("01307920411")</f>
        <v>01307920411</v>
      </c>
      <c r="N114" s="7" t="s">
        <v>178</v>
      </c>
      <c r="O114" s="7" t="s">
        <v>144</v>
      </c>
      <c r="P114" s="7" t="s">
        <v>36</v>
      </c>
      <c r="Q114" s="7" t="s">
        <v>37</v>
      </c>
      <c r="R114" s="7" t="s">
        <v>38</v>
      </c>
      <c r="S114" s="7" t="s">
        <v>39</v>
      </c>
      <c r="T114" s="7"/>
      <c r="U114" s="7">
        <v>390.53</v>
      </c>
      <c r="V114" s="7">
        <v>168.4</v>
      </c>
      <c r="W114" s="7">
        <v>155.51</v>
      </c>
      <c r="X114" s="7">
        <v>0</v>
      </c>
      <c r="Y114" s="8">
        <v>66.62</v>
      </c>
    </row>
    <row r="115" spans="1:25" ht="12.75">
      <c r="A115" s="6" t="s">
        <v>26</v>
      </c>
      <c r="B115" s="7" t="s">
        <v>27</v>
      </c>
      <c r="C115" s="7" t="s">
        <v>28</v>
      </c>
      <c r="D115" s="7" t="s">
        <v>50</v>
      </c>
      <c r="E115" s="7" t="s">
        <v>30</v>
      </c>
      <c r="F115" s="7" t="s">
        <v>179</v>
      </c>
      <c r="G115" s="7">
        <v>2019</v>
      </c>
      <c r="H115" s="7" t="str">
        <f>CONCATENATE("94241731051")</f>
        <v>94241731051</v>
      </c>
      <c r="I115" s="7" t="s">
        <v>32</v>
      </c>
      <c r="J115" s="7" t="s">
        <v>33</v>
      </c>
      <c r="K115" s="7">
        <f>CONCATENATE("")</f>
      </c>
      <c r="L115" s="7" t="str">
        <f>CONCATENATE("11 11.2 4b")</f>
        <v>11 11.2 4b</v>
      </c>
      <c r="M115" s="7" t="str">
        <f>CONCATENATE("BNVDGI79T07G479T")</f>
        <v>BNVDGI79T07G479T</v>
      </c>
      <c r="N115" s="7" t="s">
        <v>180</v>
      </c>
      <c r="O115" s="7" t="s">
        <v>99</v>
      </c>
      <c r="P115" s="7" t="s">
        <v>36</v>
      </c>
      <c r="Q115" s="7" t="s">
        <v>37</v>
      </c>
      <c r="R115" s="7" t="s">
        <v>38</v>
      </c>
      <c r="S115" s="7" t="s">
        <v>39</v>
      </c>
      <c r="T115" s="7"/>
      <c r="U115" s="7">
        <v>1003.59</v>
      </c>
      <c r="V115" s="7">
        <v>432.75</v>
      </c>
      <c r="W115" s="7">
        <v>399.63</v>
      </c>
      <c r="X115" s="7">
        <v>0</v>
      </c>
      <c r="Y115" s="8">
        <v>171.21</v>
      </c>
    </row>
    <row r="116" spans="1:25" ht="12.75">
      <c r="A116" s="6" t="s">
        <v>26</v>
      </c>
      <c r="B116" s="7" t="s">
        <v>27</v>
      </c>
      <c r="C116" s="7" t="s">
        <v>28</v>
      </c>
      <c r="D116" s="7" t="s">
        <v>50</v>
      </c>
      <c r="E116" s="7" t="s">
        <v>121</v>
      </c>
      <c r="F116" s="7" t="s">
        <v>122</v>
      </c>
      <c r="G116" s="7">
        <v>2019</v>
      </c>
      <c r="H116" s="7" t="str">
        <f>CONCATENATE("94240972136")</f>
        <v>94240972136</v>
      </c>
      <c r="I116" s="7" t="s">
        <v>32</v>
      </c>
      <c r="J116" s="7" t="s">
        <v>33</v>
      </c>
      <c r="K116" s="7">
        <f>CONCATENATE("")</f>
      </c>
      <c r="L116" s="7" t="str">
        <f>CONCATENATE("11 11.2 4b")</f>
        <v>11 11.2 4b</v>
      </c>
      <c r="M116" s="7" t="str">
        <f>CONCATENATE("FRLDGI96B06D749R")</f>
        <v>FRLDGI96B06D749R</v>
      </c>
      <c r="N116" s="7" t="s">
        <v>181</v>
      </c>
      <c r="O116" s="7" t="s">
        <v>99</v>
      </c>
      <c r="P116" s="7" t="s">
        <v>36</v>
      </c>
      <c r="Q116" s="7" t="s">
        <v>37</v>
      </c>
      <c r="R116" s="7" t="s">
        <v>38</v>
      </c>
      <c r="S116" s="7" t="s">
        <v>39</v>
      </c>
      <c r="T116" s="7"/>
      <c r="U116" s="7">
        <v>1193.25</v>
      </c>
      <c r="V116" s="7">
        <v>514.53</v>
      </c>
      <c r="W116" s="7">
        <v>475.15</v>
      </c>
      <c r="X116" s="7">
        <v>0</v>
      </c>
      <c r="Y116" s="8">
        <v>203.57</v>
      </c>
    </row>
    <row r="117" spans="1:25" ht="12.75">
      <c r="A117" s="6" t="s">
        <v>26</v>
      </c>
      <c r="B117" s="7" t="s">
        <v>27</v>
      </c>
      <c r="C117" s="7" t="s">
        <v>28</v>
      </c>
      <c r="D117" s="7" t="s">
        <v>50</v>
      </c>
      <c r="E117" s="7" t="s">
        <v>121</v>
      </c>
      <c r="F117" s="7" t="s">
        <v>122</v>
      </c>
      <c r="G117" s="7">
        <v>2019</v>
      </c>
      <c r="H117" s="7" t="str">
        <f>CONCATENATE("94240971302")</f>
        <v>94240971302</v>
      </c>
      <c r="I117" s="7" t="s">
        <v>32</v>
      </c>
      <c r="J117" s="7" t="s">
        <v>33</v>
      </c>
      <c r="K117" s="7">
        <f>CONCATENATE("")</f>
      </c>
      <c r="L117" s="7" t="str">
        <f>CONCATENATE("11 11.1 4b")</f>
        <v>11 11.1 4b</v>
      </c>
      <c r="M117" s="7" t="str">
        <f>CONCATENATE("FRLDGI96B06D749R")</f>
        <v>FRLDGI96B06D749R</v>
      </c>
      <c r="N117" s="7" t="s">
        <v>181</v>
      </c>
      <c r="O117" s="7" t="s">
        <v>99</v>
      </c>
      <c r="P117" s="7" t="s">
        <v>36</v>
      </c>
      <c r="Q117" s="7" t="s">
        <v>37</v>
      </c>
      <c r="R117" s="7" t="s">
        <v>38</v>
      </c>
      <c r="S117" s="7" t="s">
        <v>39</v>
      </c>
      <c r="T117" s="7"/>
      <c r="U117" s="7">
        <v>3235.62</v>
      </c>
      <c r="V117" s="7">
        <v>1395.2</v>
      </c>
      <c r="W117" s="7">
        <v>1288.42</v>
      </c>
      <c r="X117" s="7">
        <v>0</v>
      </c>
      <c r="Y117" s="8">
        <v>552</v>
      </c>
    </row>
    <row r="118" spans="1:25" ht="12.75">
      <c r="A118" s="6" t="s">
        <v>26</v>
      </c>
      <c r="B118" s="7" t="s">
        <v>27</v>
      </c>
      <c r="C118" s="7" t="s">
        <v>28</v>
      </c>
      <c r="D118" s="7" t="s">
        <v>50</v>
      </c>
      <c r="E118" s="7" t="s">
        <v>70</v>
      </c>
      <c r="F118" s="7" t="s">
        <v>79</v>
      </c>
      <c r="G118" s="7">
        <v>2019</v>
      </c>
      <c r="H118" s="7" t="str">
        <f>CONCATENATE("94240631179")</f>
        <v>94240631179</v>
      </c>
      <c r="I118" s="7" t="s">
        <v>32</v>
      </c>
      <c r="J118" s="7" t="s">
        <v>33</v>
      </c>
      <c r="K118" s="7">
        <f>CONCATENATE("")</f>
      </c>
      <c r="L118" s="7" t="str">
        <f>CONCATENATE("11 11.1 4b")</f>
        <v>11 11.1 4b</v>
      </c>
      <c r="M118" s="7" t="str">
        <f>CONCATENATE("02679220414")</f>
        <v>02679220414</v>
      </c>
      <c r="N118" s="7" t="s">
        <v>182</v>
      </c>
      <c r="O118" s="7" t="s">
        <v>99</v>
      </c>
      <c r="P118" s="7" t="s">
        <v>36</v>
      </c>
      <c r="Q118" s="7" t="s">
        <v>37</v>
      </c>
      <c r="R118" s="7" t="s">
        <v>38</v>
      </c>
      <c r="S118" s="7" t="s">
        <v>39</v>
      </c>
      <c r="T118" s="7"/>
      <c r="U118" s="7">
        <v>542.53</v>
      </c>
      <c r="V118" s="7">
        <v>233.94</v>
      </c>
      <c r="W118" s="7">
        <v>216.04</v>
      </c>
      <c r="X118" s="7">
        <v>0</v>
      </c>
      <c r="Y118" s="8">
        <v>92.55</v>
      </c>
    </row>
    <row r="119" spans="1:25" ht="12.75">
      <c r="A119" s="6" t="s">
        <v>26</v>
      </c>
      <c r="B119" s="7" t="s">
        <v>27</v>
      </c>
      <c r="C119" s="7" t="s">
        <v>28</v>
      </c>
      <c r="D119" s="7" t="s">
        <v>50</v>
      </c>
      <c r="E119" s="7" t="s">
        <v>30</v>
      </c>
      <c r="F119" s="7" t="s">
        <v>77</v>
      </c>
      <c r="G119" s="7">
        <v>2019</v>
      </c>
      <c r="H119" s="7" t="str">
        <f>CONCATENATE("94240675234")</f>
        <v>94240675234</v>
      </c>
      <c r="I119" s="7" t="s">
        <v>32</v>
      </c>
      <c r="J119" s="7" t="s">
        <v>33</v>
      </c>
      <c r="K119" s="7">
        <f>CONCATENATE("")</f>
      </c>
      <c r="L119" s="7" t="str">
        <f>CONCATENATE("11 11.2 4b")</f>
        <v>11 11.2 4b</v>
      </c>
      <c r="M119" s="7" t="str">
        <f>CONCATENATE("00309420412")</f>
        <v>00309420412</v>
      </c>
      <c r="N119" s="7" t="s">
        <v>183</v>
      </c>
      <c r="O119" s="7" t="s">
        <v>99</v>
      </c>
      <c r="P119" s="7" t="s">
        <v>36</v>
      </c>
      <c r="Q119" s="7" t="s">
        <v>37</v>
      </c>
      <c r="R119" s="7" t="s">
        <v>38</v>
      </c>
      <c r="S119" s="7" t="s">
        <v>39</v>
      </c>
      <c r="T119" s="7"/>
      <c r="U119" s="7">
        <v>9899.56</v>
      </c>
      <c r="V119" s="7">
        <v>4268.69</v>
      </c>
      <c r="W119" s="7">
        <v>3942</v>
      </c>
      <c r="X119" s="7">
        <v>0</v>
      </c>
      <c r="Y119" s="8">
        <v>1688.87</v>
      </c>
    </row>
    <row r="120" spans="1:25" ht="12.75">
      <c r="A120" s="6" t="s">
        <v>26</v>
      </c>
      <c r="B120" s="7" t="s">
        <v>27</v>
      </c>
      <c r="C120" s="7" t="s">
        <v>28</v>
      </c>
      <c r="D120" s="7" t="s">
        <v>50</v>
      </c>
      <c r="E120" s="7" t="s">
        <v>30</v>
      </c>
      <c r="F120" s="7" t="s">
        <v>179</v>
      </c>
      <c r="G120" s="7">
        <v>2019</v>
      </c>
      <c r="H120" s="7" t="str">
        <f>CONCATENATE("94241163172")</f>
        <v>94241163172</v>
      </c>
      <c r="I120" s="7" t="s">
        <v>32</v>
      </c>
      <c r="J120" s="7" t="s">
        <v>33</v>
      </c>
      <c r="K120" s="7">
        <f>CONCATENATE("")</f>
      </c>
      <c r="L120" s="7" t="str">
        <f>CONCATENATE("11 11.2 4b")</f>
        <v>11 11.2 4b</v>
      </c>
      <c r="M120" s="7" t="str">
        <f>CONCATENATE("CRBSMN73H62G479G")</f>
        <v>CRBSMN73H62G479G</v>
      </c>
      <c r="N120" s="7" t="s">
        <v>184</v>
      </c>
      <c r="O120" s="7" t="s">
        <v>99</v>
      </c>
      <c r="P120" s="7" t="s">
        <v>36</v>
      </c>
      <c r="Q120" s="7" t="s">
        <v>37</v>
      </c>
      <c r="R120" s="7" t="s">
        <v>38</v>
      </c>
      <c r="S120" s="7" t="s">
        <v>39</v>
      </c>
      <c r="T120" s="7"/>
      <c r="U120" s="7">
        <v>8501.02</v>
      </c>
      <c r="V120" s="7">
        <v>3665.64</v>
      </c>
      <c r="W120" s="7">
        <v>3385.11</v>
      </c>
      <c r="X120" s="7">
        <v>0</v>
      </c>
      <c r="Y120" s="8">
        <v>1450.27</v>
      </c>
    </row>
    <row r="121" spans="1:25" ht="12.75">
      <c r="A121" s="6" t="s">
        <v>26</v>
      </c>
      <c r="B121" s="7" t="s">
        <v>27</v>
      </c>
      <c r="C121" s="7" t="s">
        <v>28</v>
      </c>
      <c r="D121" s="7" t="s">
        <v>50</v>
      </c>
      <c r="E121" s="7" t="s">
        <v>64</v>
      </c>
      <c r="F121" s="7" t="s">
        <v>172</v>
      </c>
      <c r="G121" s="7">
        <v>2019</v>
      </c>
      <c r="H121" s="7" t="str">
        <f>CONCATENATE("94241700890")</f>
        <v>94241700890</v>
      </c>
      <c r="I121" s="7" t="s">
        <v>32</v>
      </c>
      <c r="J121" s="7" t="s">
        <v>33</v>
      </c>
      <c r="K121" s="7">
        <f>CONCATENATE("")</f>
      </c>
      <c r="L121" s="7" t="str">
        <f>CONCATENATE("11 11.2 4b")</f>
        <v>11 11.2 4b</v>
      </c>
      <c r="M121" s="7" t="str">
        <f>CONCATENATE("02605260419")</f>
        <v>02605260419</v>
      </c>
      <c r="N121" s="7" t="s">
        <v>185</v>
      </c>
      <c r="O121" s="7" t="s">
        <v>99</v>
      </c>
      <c r="P121" s="7" t="s">
        <v>36</v>
      </c>
      <c r="Q121" s="7" t="s">
        <v>37</v>
      </c>
      <c r="R121" s="7" t="s">
        <v>38</v>
      </c>
      <c r="S121" s="7" t="s">
        <v>39</v>
      </c>
      <c r="T121" s="7"/>
      <c r="U121" s="7">
        <v>15940.3</v>
      </c>
      <c r="V121" s="7">
        <v>6873.46</v>
      </c>
      <c r="W121" s="7">
        <v>6347.43</v>
      </c>
      <c r="X121" s="7">
        <v>0</v>
      </c>
      <c r="Y121" s="8">
        <v>2719.41</v>
      </c>
    </row>
    <row r="122" spans="1:25" ht="12.75">
      <c r="A122" s="6" t="s">
        <v>26</v>
      </c>
      <c r="B122" s="7" t="s">
        <v>27</v>
      </c>
      <c r="C122" s="7" t="s">
        <v>28</v>
      </c>
      <c r="D122" s="7" t="s">
        <v>50</v>
      </c>
      <c r="E122" s="7" t="s">
        <v>40</v>
      </c>
      <c r="F122" s="7" t="s">
        <v>186</v>
      </c>
      <c r="G122" s="7">
        <v>2019</v>
      </c>
      <c r="H122" s="7" t="str">
        <f>CONCATENATE("94241597460")</f>
        <v>94241597460</v>
      </c>
      <c r="I122" s="7" t="s">
        <v>32</v>
      </c>
      <c r="J122" s="7" t="s">
        <v>33</v>
      </c>
      <c r="K122" s="7">
        <f>CONCATENATE("")</f>
      </c>
      <c r="L122" s="7" t="str">
        <f>CONCATENATE("11 11.2 4b")</f>
        <v>11 11.2 4b</v>
      </c>
      <c r="M122" s="7" t="str">
        <f>CONCATENATE("BRCDRN50P12H949R")</f>
        <v>BRCDRN50P12H949R</v>
      </c>
      <c r="N122" s="7" t="s">
        <v>187</v>
      </c>
      <c r="O122" s="7" t="s">
        <v>99</v>
      </c>
      <c r="P122" s="7" t="s">
        <v>36</v>
      </c>
      <c r="Q122" s="7" t="s">
        <v>37</v>
      </c>
      <c r="R122" s="7" t="s">
        <v>38</v>
      </c>
      <c r="S122" s="7" t="s">
        <v>39</v>
      </c>
      <c r="T122" s="7"/>
      <c r="U122" s="7">
        <v>375.67</v>
      </c>
      <c r="V122" s="7">
        <v>161.99</v>
      </c>
      <c r="W122" s="7">
        <v>149.59</v>
      </c>
      <c r="X122" s="7">
        <v>0</v>
      </c>
      <c r="Y122" s="8">
        <v>64.09</v>
      </c>
    </row>
    <row r="123" spans="1:25" ht="12.75">
      <c r="A123" s="6" t="s">
        <v>26</v>
      </c>
      <c r="B123" s="7" t="s">
        <v>27</v>
      </c>
      <c r="C123" s="7" t="s">
        <v>28</v>
      </c>
      <c r="D123" s="7" t="s">
        <v>29</v>
      </c>
      <c r="E123" s="7" t="s">
        <v>40</v>
      </c>
      <c r="F123" s="7" t="s">
        <v>188</v>
      </c>
      <c r="G123" s="7">
        <v>2019</v>
      </c>
      <c r="H123" s="7" t="str">
        <f>CONCATENATE("94240579675")</f>
        <v>94240579675</v>
      </c>
      <c r="I123" s="7" t="s">
        <v>32</v>
      </c>
      <c r="J123" s="7" t="s">
        <v>33</v>
      </c>
      <c r="K123" s="7">
        <f>CONCATENATE("")</f>
      </c>
      <c r="L123" s="7" t="str">
        <f>CONCATENATE("11 11.1 4b")</f>
        <v>11 11.1 4b</v>
      </c>
      <c r="M123" s="7" t="str">
        <f>CONCATENATE("BRTLCU88C62H211T")</f>
        <v>BRTLCU88C62H211T</v>
      </c>
      <c r="N123" s="7" t="s">
        <v>189</v>
      </c>
      <c r="O123" s="7" t="s">
        <v>190</v>
      </c>
      <c r="P123" s="7" t="s">
        <v>36</v>
      </c>
      <c r="Q123" s="7" t="s">
        <v>37</v>
      </c>
      <c r="R123" s="7" t="s">
        <v>38</v>
      </c>
      <c r="S123" s="7" t="s">
        <v>39</v>
      </c>
      <c r="T123" s="7"/>
      <c r="U123" s="7">
        <v>2993.67</v>
      </c>
      <c r="V123" s="7">
        <v>1290.87</v>
      </c>
      <c r="W123" s="7">
        <v>1192.08</v>
      </c>
      <c r="X123" s="7">
        <v>0</v>
      </c>
      <c r="Y123" s="8">
        <v>510.72</v>
      </c>
    </row>
    <row r="124" spans="1:25" ht="12.75">
      <c r="A124" s="6" t="s">
        <v>26</v>
      </c>
      <c r="B124" s="7" t="s">
        <v>27</v>
      </c>
      <c r="C124" s="7" t="s">
        <v>28</v>
      </c>
      <c r="D124" s="7" t="s">
        <v>29</v>
      </c>
      <c r="E124" s="7" t="s">
        <v>40</v>
      </c>
      <c r="F124" s="7" t="s">
        <v>188</v>
      </c>
      <c r="G124" s="7">
        <v>2018</v>
      </c>
      <c r="H124" s="7" t="str">
        <f>CONCATENATE("84240459812")</f>
        <v>84240459812</v>
      </c>
      <c r="I124" s="7" t="s">
        <v>32</v>
      </c>
      <c r="J124" s="7" t="s">
        <v>33</v>
      </c>
      <c r="K124" s="7">
        <f>CONCATENATE("")</f>
      </c>
      <c r="L124" s="7" t="str">
        <f>CONCATENATE("11 11.1 4b")</f>
        <v>11 11.1 4b</v>
      </c>
      <c r="M124" s="7" t="str">
        <f>CONCATENATE("BRTLCU88C62H211T")</f>
        <v>BRTLCU88C62H211T</v>
      </c>
      <c r="N124" s="7" t="s">
        <v>189</v>
      </c>
      <c r="O124" s="7" t="s">
        <v>190</v>
      </c>
      <c r="P124" s="7" t="s">
        <v>36</v>
      </c>
      <c r="Q124" s="7" t="s">
        <v>37</v>
      </c>
      <c r="R124" s="7" t="s">
        <v>38</v>
      </c>
      <c r="S124" s="7" t="s">
        <v>39</v>
      </c>
      <c r="T124" s="7"/>
      <c r="U124" s="7">
        <v>2604.23</v>
      </c>
      <c r="V124" s="7">
        <v>1122.94</v>
      </c>
      <c r="W124" s="7">
        <v>1037</v>
      </c>
      <c r="X124" s="7">
        <v>0</v>
      </c>
      <c r="Y124" s="8">
        <v>444.29</v>
      </c>
    </row>
    <row r="125" spans="1:25" ht="12.75">
      <c r="A125" s="6" t="s">
        <v>26</v>
      </c>
      <c r="B125" s="7" t="s">
        <v>27</v>
      </c>
      <c r="C125" s="7" t="s">
        <v>28</v>
      </c>
      <c r="D125" s="7" t="s">
        <v>29</v>
      </c>
      <c r="E125" s="7" t="s">
        <v>58</v>
      </c>
      <c r="F125" s="7" t="s">
        <v>59</v>
      </c>
      <c r="G125" s="7">
        <v>2019</v>
      </c>
      <c r="H125" s="7" t="str">
        <f>CONCATENATE("94240326283")</f>
        <v>94240326283</v>
      </c>
      <c r="I125" s="7" t="s">
        <v>32</v>
      </c>
      <c r="J125" s="7" t="s">
        <v>33</v>
      </c>
      <c r="K125" s="7">
        <f>CONCATENATE("")</f>
      </c>
      <c r="L125" s="7" t="str">
        <f>CONCATENATE("11 11.2 4b")</f>
        <v>11 11.2 4b</v>
      </c>
      <c r="M125" s="7" t="str">
        <f>CONCATENATE("01989320435")</f>
        <v>01989320435</v>
      </c>
      <c r="N125" s="7" t="s">
        <v>191</v>
      </c>
      <c r="O125" s="7" t="s">
        <v>190</v>
      </c>
      <c r="P125" s="7" t="s">
        <v>36</v>
      </c>
      <c r="Q125" s="7" t="s">
        <v>37</v>
      </c>
      <c r="R125" s="7" t="s">
        <v>38</v>
      </c>
      <c r="S125" s="7" t="s">
        <v>39</v>
      </c>
      <c r="T125" s="7"/>
      <c r="U125" s="7">
        <v>4940.48</v>
      </c>
      <c r="V125" s="7">
        <v>2130.33</v>
      </c>
      <c r="W125" s="7">
        <v>1967.3</v>
      </c>
      <c r="X125" s="7">
        <v>0</v>
      </c>
      <c r="Y125" s="8">
        <v>842.85</v>
      </c>
    </row>
    <row r="126" spans="1:25" ht="12.75">
      <c r="A126" s="6" t="s">
        <v>26</v>
      </c>
      <c r="B126" s="7" t="s">
        <v>27</v>
      </c>
      <c r="C126" s="7" t="s">
        <v>28</v>
      </c>
      <c r="D126" s="7" t="s">
        <v>50</v>
      </c>
      <c r="E126" s="7" t="s">
        <v>30</v>
      </c>
      <c r="F126" s="7" t="s">
        <v>179</v>
      </c>
      <c r="G126" s="7">
        <v>2017</v>
      </c>
      <c r="H126" s="7" t="str">
        <f>CONCATENATE("74240534870")</f>
        <v>74240534870</v>
      </c>
      <c r="I126" s="7" t="s">
        <v>32</v>
      </c>
      <c r="J126" s="7" t="s">
        <v>33</v>
      </c>
      <c r="K126" s="7">
        <f>CONCATENATE("")</f>
      </c>
      <c r="L126" s="7" t="str">
        <f>CONCATENATE("11 11.2 4b")</f>
        <v>11 11.2 4b</v>
      </c>
      <c r="M126" s="7" t="str">
        <f>CONCATENATE("RLACLD55C59G479R")</f>
        <v>RLACLD55C59G479R</v>
      </c>
      <c r="N126" s="7" t="s">
        <v>192</v>
      </c>
      <c r="O126" s="7" t="s">
        <v>193</v>
      </c>
      <c r="P126" s="7" t="s">
        <v>36</v>
      </c>
      <c r="Q126" s="7" t="s">
        <v>37</v>
      </c>
      <c r="R126" s="7" t="s">
        <v>38</v>
      </c>
      <c r="S126" s="7" t="s">
        <v>39</v>
      </c>
      <c r="T126" s="7"/>
      <c r="U126" s="7">
        <v>36374.58</v>
      </c>
      <c r="V126" s="7">
        <v>15684.72</v>
      </c>
      <c r="W126" s="7">
        <v>14484.36</v>
      </c>
      <c r="X126" s="7">
        <v>0</v>
      </c>
      <c r="Y126" s="8">
        <v>6205.5</v>
      </c>
    </row>
    <row r="127" spans="1:25" ht="12.75">
      <c r="A127" s="6" t="s">
        <v>26</v>
      </c>
      <c r="B127" s="7" t="s">
        <v>27</v>
      </c>
      <c r="C127" s="7" t="s">
        <v>28</v>
      </c>
      <c r="D127" s="7" t="s">
        <v>50</v>
      </c>
      <c r="E127" s="7" t="s">
        <v>30</v>
      </c>
      <c r="F127" s="7" t="s">
        <v>179</v>
      </c>
      <c r="G127" s="7">
        <v>2019</v>
      </c>
      <c r="H127" s="7" t="str">
        <f>CONCATENATE("94240789761")</f>
        <v>94240789761</v>
      </c>
      <c r="I127" s="7" t="s">
        <v>32</v>
      </c>
      <c r="J127" s="7" t="s">
        <v>33</v>
      </c>
      <c r="K127" s="7">
        <f>CONCATENATE("")</f>
      </c>
      <c r="L127" s="7" t="str">
        <f>CONCATENATE("11 11.2 4b")</f>
        <v>11 11.2 4b</v>
      </c>
      <c r="M127" s="7" t="str">
        <f>CONCATENATE("RLACLD55C59G479R")</f>
        <v>RLACLD55C59G479R</v>
      </c>
      <c r="N127" s="7" t="s">
        <v>192</v>
      </c>
      <c r="O127" s="7" t="s">
        <v>193</v>
      </c>
      <c r="P127" s="7" t="s">
        <v>36</v>
      </c>
      <c r="Q127" s="7" t="s">
        <v>37</v>
      </c>
      <c r="R127" s="7" t="s">
        <v>38</v>
      </c>
      <c r="S127" s="7" t="s">
        <v>39</v>
      </c>
      <c r="T127" s="7"/>
      <c r="U127" s="7">
        <v>6788.41</v>
      </c>
      <c r="V127" s="7">
        <v>2927.16</v>
      </c>
      <c r="W127" s="7">
        <v>2703.14</v>
      </c>
      <c r="X127" s="7">
        <v>0</v>
      </c>
      <c r="Y127" s="8">
        <v>1158.11</v>
      </c>
    </row>
    <row r="128" spans="1:25" ht="12.75">
      <c r="A128" s="6" t="s">
        <v>26</v>
      </c>
      <c r="B128" s="7" t="s">
        <v>27</v>
      </c>
      <c r="C128" s="7" t="s">
        <v>28</v>
      </c>
      <c r="D128" s="7" t="s">
        <v>50</v>
      </c>
      <c r="E128" s="7" t="s">
        <v>30</v>
      </c>
      <c r="F128" s="7" t="s">
        <v>179</v>
      </c>
      <c r="G128" s="7">
        <v>2018</v>
      </c>
      <c r="H128" s="7" t="str">
        <f>CONCATENATE("84240759989")</f>
        <v>84240759989</v>
      </c>
      <c r="I128" s="7" t="s">
        <v>32</v>
      </c>
      <c r="J128" s="7" t="s">
        <v>33</v>
      </c>
      <c r="K128" s="7">
        <f>CONCATENATE("")</f>
      </c>
      <c r="L128" s="7" t="str">
        <f>CONCATENATE("11 11.2 4b")</f>
        <v>11 11.2 4b</v>
      </c>
      <c r="M128" s="7" t="str">
        <f>CONCATENATE("RLACLD55C59G479R")</f>
        <v>RLACLD55C59G479R</v>
      </c>
      <c r="N128" s="7" t="s">
        <v>192</v>
      </c>
      <c r="O128" s="7" t="s">
        <v>193</v>
      </c>
      <c r="P128" s="7" t="s">
        <v>36</v>
      </c>
      <c r="Q128" s="7" t="s">
        <v>37</v>
      </c>
      <c r="R128" s="7" t="s">
        <v>38</v>
      </c>
      <c r="S128" s="7" t="s">
        <v>39</v>
      </c>
      <c r="T128" s="7"/>
      <c r="U128" s="7">
        <v>14855.62</v>
      </c>
      <c r="V128" s="7">
        <v>6405.74</v>
      </c>
      <c r="W128" s="7">
        <v>5915.51</v>
      </c>
      <c r="X128" s="7">
        <v>0</v>
      </c>
      <c r="Y128" s="8">
        <v>2534.37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</cp:lastModifiedBy>
  <dcterms:modified xsi:type="dcterms:W3CDTF">2020-03-23T16:41:10Z</dcterms:modified>
  <cp:category/>
  <cp:version/>
  <cp:contentType/>
  <cp:contentStatus/>
  <cp:revision>2</cp:revision>
</cp:coreProperties>
</file>