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343\"/>
    </mc:Choice>
  </mc:AlternateContent>
  <xr:revisionPtr revIDLastSave="0" documentId="8_{9EDA703B-4386-452C-96BF-736B693FBACC}" xr6:coauthVersionLast="41" xr6:coauthVersionMax="41" xr10:uidLastSave="{00000000-0000-0000-0000-000000000000}"/>
  <bookViews>
    <workbookView xWindow="-120" yWindow="-120" windowWidth="29040" windowHeight="15840" xr2:uid="{C9653A89-084B-48EF-AF85-BB7630CE1FC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9" i="1" l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<sst xmlns="http://schemas.openxmlformats.org/spreadsheetml/2006/main" count="754" uniqueCount="146">
  <si>
    <t>Dettaglio Domande Pagabili Decreto 343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</si>
  <si>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</si>
  <si>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</si>
  <si>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</si>
  <si>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</si>
  <si>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</si>
  <si>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</si>
  <si>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</si>
  <si>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</si>
  <si>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</si>
  <si>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</si>
  <si>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</si>
  <si>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</si>
  <si>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</si>
  <si>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</si>
  <si>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</si>
  <si>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</si>
  <si>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</si>
  <si>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</si>
  <si>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</si>
  <si>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</si>
  <si>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</si>
  <si>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</si>
  <si>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</si>
  <si>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</si>
  <si>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</si>
  <si>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</si>
  <si>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</si>
  <si>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</si>
  <si>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</si>
  <si>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</si>
  <si>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</si>
  <si>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Saldo</t>
  </si>
  <si>
    <t>Co-Finanziato</t>
  </si>
  <si>
    <t>Misure a Superficie</t>
  </si>
  <si>
    <t>CAA UNICAA srl</t>
  </si>
  <si>
    <t>CAA Confagricoltura srl</t>
  </si>
  <si>
    <t>CAA CIA srl</t>
  </si>
  <si>
    <t>CAA degli Agricoltori Srl</t>
  </si>
  <si>
    <t>IN PROPRIO</t>
  </si>
  <si>
    <t>Anticipo</t>
  </si>
  <si>
    <t>CAA LiberiAgricoltori srl già CAA AGCI srl</t>
  </si>
  <si>
    <t>SI</t>
  </si>
  <si>
    <t>CAA-CAF AGRI S.R.L.</t>
  </si>
  <si>
    <t>Trascinamenti</t>
  </si>
  <si>
    <t>SAL</t>
  </si>
  <si>
    <t>MARCHE</t>
  </si>
  <si>
    <t>SERV. DEC. AGRICOLTURA E ALIMENTAZIONE - PESARO</t>
  </si>
  <si>
    <t>CAA CIA - PESARO E URBINO - 006</t>
  </si>
  <si>
    <t>RENZI ELSO</t>
  </si>
  <si>
    <t>AGEA.ASR.2019.1325749</t>
  </si>
  <si>
    <t>SERV. DEC. AGRICOLTURA E ALIM. - MACERATA</t>
  </si>
  <si>
    <t>SOCIETA' AGRICOLA ZAMPONI MARCO E FAUSTO SOCIETA' SEMPLICE</t>
  </si>
  <si>
    <t>AGEA.ASR.2019.1964540</t>
  </si>
  <si>
    <t>SOCIETA' AGRICOLA ANDROMEDA SRL</t>
  </si>
  <si>
    <t>AGEA.ASR.2019.1946565</t>
  </si>
  <si>
    <t>SERV. DEC. AGRICOLTURA E ALIM. -ASCOLI PICENO</t>
  </si>
  <si>
    <t>CAA UNICAA - ASCOLI PICENO - 004</t>
  </si>
  <si>
    <t>CIOTTI POMPILIO</t>
  </si>
  <si>
    <t>AGEA.ASR.2019.1820019</t>
  </si>
  <si>
    <t>CAA Coldiretti - MACERATA - 017</t>
  </si>
  <si>
    <t>SCOLASTICI MARCO</t>
  </si>
  <si>
    <t>AGEA.ASR.2019.2121393</t>
  </si>
  <si>
    <t>SERV. DEC. AGRICOLTURA E ALIMENTAZIONE - ANCONA</t>
  </si>
  <si>
    <t>CAA CIA - ANCONA - 006</t>
  </si>
  <si>
    <t>LOCCIONI RENATO</t>
  </si>
  <si>
    <t>AGEA.ASR.2019.2018095</t>
  </si>
  <si>
    <t>CAA CIA - ASCOLI PICENO - 004</t>
  </si>
  <si>
    <t>VITALI GABRIELE</t>
  </si>
  <si>
    <t>AGEA.ASR.2019.1785026</t>
  </si>
  <si>
    <t>COMUNE DI VENAROTTA</t>
  </si>
  <si>
    <t>AGEA.ASR.2020.0078712</t>
  </si>
  <si>
    <t>CAA Confagricoltura - MACERATA - 001</t>
  </si>
  <si>
    <t>ANCAJANO SOCIETA' AGRICOLA SEMPLICE DI FORCONI STEFANIA &amp; C</t>
  </si>
  <si>
    <t>CAA Coldiretti - PESARO E URBINO - 004</t>
  </si>
  <si>
    <t>CAU MARCELLO</t>
  </si>
  <si>
    <t>COMUNE DI MONTALTO DELLE MARCHE</t>
  </si>
  <si>
    <t>AGEA.ASR.2020.0078728</t>
  </si>
  <si>
    <t>CAA LiberiAgricoltori - MACERATA - 002</t>
  </si>
  <si>
    <t>S.C.A.V.V. SOCIETA' COOPERATIVA AGRICOLA VALLE VERDE</t>
  </si>
  <si>
    <t>AGEA.ASR.2020.0090820</t>
  </si>
  <si>
    <t>CAA CAF AGRI - ANCONA - 225</t>
  </si>
  <si>
    <t>CARZEDDA GIAN MARIA</t>
  </si>
  <si>
    <t>AGEA.ASR.2019.2011745</t>
  </si>
  <si>
    <t>CAA CIA - ANCONA - 002</t>
  </si>
  <si>
    <t>BETTARELLI ANNA</t>
  </si>
  <si>
    <t>CAA CIA - ANCONA - 005</t>
  </si>
  <si>
    <t>CATINCA ALEXANDRA MIHAELA</t>
  </si>
  <si>
    <t>CAA CAF AGRI - ANCONA - 223</t>
  </si>
  <si>
    <t>SOTGIA SIMONE</t>
  </si>
  <si>
    <t>VITALETTI ELISA</t>
  </si>
  <si>
    <t>VITALETTI ROBERTO</t>
  </si>
  <si>
    <t>CAA LiberiAgricoltori - PESARO E URBINO - 001</t>
  </si>
  <si>
    <t>SOCIETA' AGRICOLA CRETE SENESI S.S.</t>
  </si>
  <si>
    <t>MEREU FRANCESCO ANTIOCO</t>
  </si>
  <si>
    <t>DE SANTIS SUSANNA</t>
  </si>
  <si>
    <t>CAA CAF AGRI - ANCONA - 221</t>
  </si>
  <si>
    <t>DI BITONTO CATERINA</t>
  </si>
  <si>
    <t>CAA Degli Agricoltori - ANCONA - 101</t>
  </si>
  <si>
    <t>MAGI MASSIMO</t>
  </si>
  <si>
    <t>MEREU GIANCARLO</t>
  </si>
  <si>
    <t>SOTGIA LUCIANO</t>
  </si>
  <si>
    <t>PAOLETTI SABATINO</t>
  </si>
  <si>
    <t>CAA Coldiretti - ANCONA - 002</t>
  </si>
  <si>
    <t>PEDICA MARIA TERESA</t>
  </si>
  <si>
    <t>AZIENDA AGRICOLA SABATINO S.N.C. DI PAOLETTI E VITALETTI &amp; C.</t>
  </si>
  <si>
    <t>CAA Confagricoltura - ANCONA - 001</t>
  </si>
  <si>
    <t>SOCIETA' AGRICOLA TERRE VERDI DI ZINGARETTI E SOCI S.S.</t>
  </si>
  <si>
    <t>CAA Coldiretti - MACERATA - 007</t>
  </si>
  <si>
    <t>SOC.AGR.VILLA LE CASE DI ARNAUTOVICI C.</t>
  </si>
  <si>
    <t>SOCIETA' AGRICOLA GIOIA S.S.</t>
  </si>
  <si>
    <t>BALDUCCI PATRIZIA</t>
  </si>
  <si>
    <t>GHISU FILOMENA</t>
  </si>
  <si>
    <t>UNIONE MONTANA POTENZA ESINO MUSONE</t>
  </si>
  <si>
    <t>AGEA.ASR.2020.0089537</t>
  </si>
  <si>
    <t>COMUNE DI MONTECOPIOLO</t>
  </si>
  <si>
    <t>AGEA.ASR.2020.0068353</t>
  </si>
  <si>
    <t>CAA Coldiretti - PESARO E URBINO - 008</t>
  </si>
  <si>
    <t>COMUNE DI PEGLIO</t>
  </si>
  <si>
    <t>COMUNE DI SASSOCORVARO AUDITORE</t>
  </si>
  <si>
    <t>DURASTANTI ALFIO</t>
  </si>
  <si>
    <t>AGEA.ASR.2019.2119828</t>
  </si>
  <si>
    <t>AGEA.ASR.2020.0068254</t>
  </si>
  <si>
    <t>E.N.F.A.P. MARCHE</t>
  </si>
  <si>
    <t>AGEA.ASR.2020.0056126</t>
  </si>
  <si>
    <t>ASSOCIAZIONE DI PROMOZIONE SOCIALE PRAXIS</t>
  </si>
  <si>
    <t>AGEA.ASR.2020.0068252</t>
  </si>
  <si>
    <t>RIO TORBIDO 101 SRL - SOCIETA' AGRICOLA</t>
  </si>
  <si>
    <t>AGEA.ASR.2019.2116030</t>
  </si>
  <si>
    <t>S.C.A.C.SOCIETA' COOPERATIVA AGRICOLA</t>
  </si>
  <si>
    <t>AGEA.ASR.2020.0055566</t>
  </si>
  <si>
    <t>CAA CIA - PESARO E URBINO - 005</t>
  </si>
  <si>
    <t>TAGLIABRACCI NORMA</t>
  </si>
  <si>
    <t>AGEA.ASR.2020.0000342</t>
  </si>
  <si>
    <t>IMPRESA VERDE MARCHE S.R.L.</t>
  </si>
  <si>
    <t>AGEA.ASR.2020.0085791</t>
  </si>
  <si>
    <t>CAA Coldiretti - PESARO E URBINO - 013</t>
  </si>
  <si>
    <t>RAFFEINER JACOB</t>
  </si>
  <si>
    <t>AGEA.ASR.2020.0000318</t>
  </si>
  <si>
    <t>CAA LiberiAgricoltori - MACERATA - 001</t>
  </si>
  <si>
    <t>SOCIETA' AGRICOLA GENTILESCHI ANDREA E CONTIGIANI CINZIA S.S</t>
  </si>
  <si>
    <t>AGEA.ASR.2018.2135133</t>
  </si>
  <si>
    <t>ENTE REGIONE MARCHE</t>
  </si>
  <si>
    <t>AGEA.ASR.2020.0000362</t>
  </si>
  <si>
    <t>CAA CIA - PESARO E URBINO - 007</t>
  </si>
  <si>
    <t>COOP.SOC.DE RERUM NATURA SOC.COOP. AGRICOLA A 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</si>
</sst>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E9F92-F7D5-421C-9852-1C5E340E3CA0}">
  <dimension ref="A1:Y59"/>
  <sheetViews>
    <sheetView showGridLines="0" tabSelected="1" workbookViewId="0">
      <selection activeCell="G69" sqref="G69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20.85546875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34</v>
      </c>
      <c r="C4" s="5" t="s">
        <v>46</v>
      </c>
      <c r="D4" s="5" t="s">
        <v>47</v>
      </c>
      <c r="E4" s="5" t="s">
        <v>37</v>
      </c>
      <c r="F4" s="5" t="s">
        <v>48</v>
      </c>
      <c r="G4" s="5">
        <v>2018</v>
      </c>
      <c r="H4" s="5" t="str">
        <f>CONCATENATE("84240819254")</f>
        <v>84240819254</v>
      </c>
      <c r="I4" s="5" t="s">
        <v>29</v>
      </c>
      <c r="J4" s="5" t="s">
        <v>30</v>
      </c>
      <c r="K4" s="5" t="str">
        <f>CONCATENATE("")</f>
        <v/>
      </c>
      <c r="L4" s="5" t="str">
        <f>CONCATENATE("10 10.1 4b")</f>
        <v>10 10.1 4b</v>
      </c>
      <c r="M4" s="5" t="str">
        <f>CONCATENATE("RNZLSE50R10G479H")</f>
        <v>RNZLSE50R10G479H</v>
      </c>
      <c r="N4" s="5" t="s">
        <v>49</v>
      </c>
      <c r="O4" s="5" t="s">
        <v>50</v>
      </c>
      <c r="P4" s="6">
        <v>43769</v>
      </c>
      <c r="Q4" s="5" t="s">
        <v>31</v>
      </c>
      <c r="R4" s="5" t="s">
        <v>32</v>
      </c>
      <c r="S4" s="5" t="s">
        <v>33</v>
      </c>
      <c r="T4" s="5"/>
      <c r="U4" s="7">
        <v>5133.17</v>
      </c>
      <c r="V4" s="7">
        <v>2213.42</v>
      </c>
      <c r="W4" s="7">
        <v>2044.03</v>
      </c>
      <c r="X4" s="5">
        <v>0</v>
      </c>
      <c r="Y4" s="5">
        <v>875.72</v>
      </c>
    </row>
    <row r="5" spans="1:25" ht="24.75" x14ac:dyDescent="0.25">
      <c r="A5" s="5" t="s">
        <v>26</v>
      </c>
      <c r="B5" s="5" t="s">
        <v>27</v>
      </c>
      <c r="C5" s="5" t="s">
        <v>46</v>
      </c>
      <c r="D5" s="5" t="s">
        <v>51</v>
      </c>
      <c r="E5" s="5" t="s">
        <v>39</v>
      </c>
      <c r="F5" s="5" t="s">
        <v>39</v>
      </c>
      <c r="G5" s="5">
        <v>2017</v>
      </c>
      <c r="H5" s="5" t="str">
        <f>CONCATENATE("94270147831")</f>
        <v>94270147831</v>
      </c>
      <c r="I5" s="5" t="s">
        <v>29</v>
      </c>
      <c r="J5" s="5" t="s">
        <v>30</v>
      </c>
      <c r="K5" s="5" t="str">
        <f>CONCATENATE("")</f>
        <v/>
      </c>
      <c r="L5" s="5" t="str">
        <f>CONCATENATE("4 4.1 2a")</f>
        <v>4 4.1 2a</v>
      </c>
      <c r="M5" s="5" t="str">
        <f>CONCATENATE("01987130430")</f>
        <v>01987130430</v>
      </c>
      <c r="N5" s="5" t="s">
        <v>52</v>
      </c>
      <c r="O5" s="5" t="s">
        <v>53</v>
      </c>
      <c r="P5" s="6">
        <v>43815</v>
      </c>
      <c r="Q5" s="5" t="s">
        <v>31</v>
      </c>
      <c r="R5" s="5" t="s">
        <v>40</v>
      </c>
      <c r="S5" s="5" t="s">
        <v>33</v>
      </c>
      <c r="T5" s="5"/>
      <c r="U5" s="7">
        <v>302001.09999999998</v>
      </c>
      <c r="V5" s="7">
        <v>130222.87</v>
      </c>
      <c r="W5" s="7">
        <v>120256.84</v>
      </c>
      <c r="X5" s="5">
        <v>0</v>
      </c>
      <c r="Y5" s="7">
        <v>51521.39</v>
      </c>
    </row>
    <row r="6" spans="1:25" x14ac:dyDescent="0.25">
      <c r="A6" s="5" t="s">
        <v>26</v>
      </c>
      <c r="B6" s="5" t="s">
        <v>27</v>
      </c>
      <c r="C6" s="5" t="s">
        <v>46</v>
      </c>
      <c r="D6" s="5" t="s">
        <v>46</v>
      </c>
      <c r="E6" s="5" t="s">
        <v>39</v>
      </c>
      <c r="F6" s="5" t="s">
        <v>39</v>
      </c>
      <c r="G6" s="5">
        <v>2017</v>
      </c>
      <c r="H6" s="5" t="str">
        <f>CONCATENATE("94270149118")</f>
        <v>94270149118</v>
      </c>
      <c r="I6" s="5" t="s">
        <v>29</v>
      </c>
      <c r="J6" s="5" t="s">
        <v>30</v>
      </c>
      <c r="K6" s="5" t="str">
        <f>CONCATENATE("")</f>
        <v/>
      </c>
      <c r="L6" s="5" t="str">
        <f>CONCATENATE("19 19.2 6b")</f>
        <v>19 19.2 6b</v>
      </c>
      <c r="M6" s="5" t="str">
        <f>CONCATENATE("01762040671")</f>
        <v>01762040671</v>
      </c>
      <c r="N6" s="5" t="s">
        <v>54</v>
      </c>
      <c r="O6" s="5" t="s">
        <v>55</v>
      </c>
      <c r="P6" s="6">
        <v>43811</v>
      </c>
      <c r="Q6" s="5" t="s">
        <v>31</v>
      </c>
      <c r="R6" s="5" t="s">
        <v>40</v>
      </c>
      <c r="S6" s="5" t="s">
        <v>33</v>
      </c>
      <c r="T6" s="5"/>
      <c r="U6" s="7">
        <v>100000</v>
      </c>
      <c r="V6" s="7">
        <v>43120</v>
      </c>
      <c r="W6" s="7">
        <v>39820</v>
      </c>
      <c r="X6" s="5">
        <v>0</v>
      </c>
      <c r="Y6" s="7">
        <v>17060</v>
      </c>
    </row>
    <row r="7" spans="1:25" ht="24.75" x14ac:dyDescent="0.25">
      <c r="A7" s="5" t="s">
        <v>26</v>
      </c>
      <c r="B7" s="5" t="s">
        <v>27</v>
      </c>
      <c r="C7" s="5" t="s">
        <v>46</v>
      </c>
      <c r="D7" s="5" t="s">
        <v>56</v>
      </c>
      <c r="E7" s="5" t="s">
        <v>35</v>
      </c>
      <c r="F7" s="5" t="s">
        <v>57</v>
      </c>
      <c r="G7" s="5">
        <v>2017</v>
      </c>
      <c r="H7" s="5" t="str">
        <f>CONCATENATE("94270137964")</f>
        <v>94270137964</v>
      </c>
      <c r="I7" s="5" t="s">
        <v>29</v>
      </c>
      <c r="J7" s="5" t="s">
        <v>30</v>
      </c>
      <c r="K7" s="5" t="str">
        <f>CONCATENATE("")</f>
        <v/>
      </c>
      <c r="L7" s="5" t="str">
        <f>CONCATENATE("4 4.1 2a")</f>
        <v>4 4.1 2a</v>
      </c>
      <c r="M7" s="5" t="str">
        <f>CONCATENATE("CTTPPL64P19H769G")</f>
        <v>CTTPPL64P19H769G</v>
      </c>
      <c r="N7" s="5" t="s">
        <v>58</v>
      </c>
      <c r="O7" s="5" t="s">
        <v>59</v>
      </c>
      <c r="P7" s="6">
        <v>43802</v>
      </c>
      <c r="Q7" s="5" t="s">
        <v>31</v>
      </c>
      <c r="R7" s="5" t="s">
        <v>40</v>
      </c>
      <c r="S7" s="5" t="s">
        <v>33</v>
      </c>
      <c r="T7" s="5"/>
      <c r="U7" s="7">
        <v>6695.79</v>
      </c>
      <c r="V7" s="7">
        <v>2887.22</v>
      </c>
      <c r="W7" s="7">
        <v>2666.26</v>
      </c>
      <c r="X7" s="5">
        <v>0</v>
      </c>
      <c r="Y7" s="7">
        <v>1142.31</v>
      </c>
    </row>
    <row r="8" spans="1:25" x14ac:dyDescent="0.25">
      <c r="A8" s="5" t="s">
        <v>26</v>
      </c>
      <c r="B8" s="5" t="s">
        <v>34</v>
      </c>
      <c r="C8" s="5" t="s">
        <v>46</v>
      </c>
      <c r="D8" s="5" t="s">
        <v>51</v>
      </c>
      <c r="E8" s="5" t="s">
        <v>28</v>
      </c>
      <c r="F8" s="5" t="s">
        <v>60</v>
      </c>
      <c r="G8" s="5">
        <v>2018</v>
      </c>
      <c r="H8" s="5" t="str">
        <f>CONCATENATE("84240990303")</f>
        <v>84240990303</v>
      </c>
      <c r="I8" s="5" t="s">
        <v>29</v>
      </c>
      <c r="J8" s="5" t="s">
        <v>30</v>
      </c>
      <c r="K8" s="5" t="str">
        <f>CONCATENATE("")</f>
        <v/>
      </c>
      <c r="L8" s="5" t="str">
        <f>CONCATENATE("11 11.2 4b")</f>
        <v>11 11.2 4b</v>
      </c>
      <c r="M8" s="5" t="str">
        <f>CONCATENATE("SCLMRC88D03D024S")</f>
        <v>SCLMRC88D03D024S</v>
      </c>
      <c r="N8" s="5" t="s">
        <v>61</v>
      </c>
      <c r="O8" s="5" t="s">
        <v>62</v>
      </c>
      <c r="P8" s="6">
        <v>43839</v>
      </c>
      <c r="Q8" s="5" t="s">
        <v>31</v>
      </c>
      <c r="R8" s="5" t="s">
        <v>32</v>
      </c>
      <c r="S8" s="5" t="s">
        <v>33</v>
      </c>
      <c r="T8" s="5"/>
      <c r="U8" s="7">
        <v>24118.59</v>
      </c>
      <c r="V8" s="7">
        <v>10399.94</v>
      </c>
      <c r="W8" s="7">
        <v>9604.02</v>
      </c>
      <c r="X8" s="5">
        <v>0</v>
      </c>
      <c r="Y8" s="7">
        <v>4114.63</v>
      </c>
    </row>
    <row r="9" spans="1:25" ht="24.75" x14ac:dyDescent="0.25">
      <c r="A9" s="5" t="s">
        <v>26</v>
      </c>
      <c r="B9" s="5" t="s">
        <v>27</v>
      </c>
      <c r="C9" s="5" t="s">
        <v>46</v>
      </c>
      <c r="D9" s="5" t="s">
        <v>63</v>
      </c>
      <c r="E9" s="5" t="s">
        <v>37</v>
      </c>
      <c r="F9" s="5" t="s">
        <v>64</v>
      </c>
      <c r="G9" s="5">
        <v>2017</v>
      </c>
      <c r="H9" s="5" t="str">
        <f>CONCATENATE("94270165981")</f>
        <v>94270165981</v>
      </c>
      <c r="I9" s="5" t="s">
        <v>29</v>
      </c>
      <c r="J9" s="5" t="s">
        <v>30</v>
      </c>
      <c r="K9" s="5" t="str">
        <f>CONCATENATE("")</f>
        <v/>
      </c>
      <c r="L9" s="5" t="str">
        <f>CONCATENATE("4 4.1 2a")</f>
        <v>4 4.1 2a</v>
      </c>
      <c r="M9" s="5" t="str">
        <f>CONCATENATE("LCCRNT71B06I653F")</f>
        <v>LCCRNT71B06I653F</v>
      </c>
      <c r="N9" s="5" t="s">
        <v>65</v>
      </c>
      <c r="O9" s="5" t="s">
        <v>66</v>
      </c>
      <c r="P9" s="6">
        <v>43818</v>
      </c>
      <c r="Q9" s="5" t="s">
        <v>31</v>
      </c>
      <c r="R9" s="5" t="s">
        <v>40</v>
      </c>
      <c r="S9" s="5" t="s">
        <v>33</v>
      </c>
      <c r="T9" s="5"/>
      <c r="U9" s="7">
        <v>96820.85</v>
      </c>
      <c r="V9" s="7">
        <v>41749.15</v>
      </c>
      <c r="W9" s="7">
        <v>38554.06</v>
      </c>
      <c r="X9" s="5">
        <v>0</v>
      </c>
      <c r="Y9" s="7">
        <v>16517.64</v>
      </c>
    </row>
    <row r="10" spans="1:25" ht="24.75" x14ac:dyDescent="0.25">
      <c r="A10" s="5" t="s">
        <v>26</v>
      </c>
      <c r="B10" s="5" t="s">
        <v>27</v>
      </c>
      <c r="C10" s="5" t="s">
        <v>46</v>
      </c>
      <c r="D10" s="5" t="s">
        <v>56</v>
      </c>
      <c r="E10" s="5" t="s">
        <v>37</v>
      </c>
      <c r="F10" s="5" t="s">
        <v>67</v>
      </c>
      <c r="G10" s="5">
        <v>2017</v>
      </c>
      <c r="H10" s="5" t="str">
        <f>CONCATENATE("94270134276")</f>
        <v>94270134276</v>
      </c>
      <c r="I10" s="5" t="s">
        <v>29</v>
      </c>
      <c r="J10" s="5" t="s">
        <v>30</v>
      </c>
      <c r="K10" s="5" t="str">
        <f>CONCATENATE("")</f>
        <v/>
      </c>
      <c r="L10" s="5" t="str">
        <f>CONCATENATE("4 4.1 2a")</f>
        <v>4 4.1 2a</v>
      </c>
      <c r="M10" s="5" t="str">
        <f>CONCATENATE("VTLGRL78T27G516V")</f>
        <v>VTLGRL78T27G516V</v>
      </c>
      <c r="N10" s="5" t="s">
        <v>68</v>
      </c>
      <c r="O10" s="5" t="s">
        <v>69</v>
      </c>
      <c r="P10" s="6">
        <v>43798</v>
      </c>
      <c r="Q10" s="5" t="s">
        <v>31</v>
      </c>
      <c r="R10" s="5" t="s">
        <v>40</v>
      </c>
      <c r="S10" s="5" t="s">
        <v>33</v>
      </c>
      <c r="T10" s="5"/>
      <c r="U10" s="7">
        <v>46465</v>
      </c>
      <c r="V10" s="7">
        <v>20035.71</v>
      </c>
      <c r="W10" s="7">
        <v>18502.36</v>
      </c>
      <c r="X10" s="5">
        <v>0</v>
      </c>
      <c r="Y10" s="7">
        <v>7926.93</v>
      </c>
    </row>
    <row r="11" spans="1:25" x14ac:dyDescent="0.25">
      <c r="A11" s="5" t="s">
        <v>26</v>
      </c>
      <c r="B11" s="5" t="s">
        <v>27</v>
      </c>
      <c r="C11" s="5" t="s">
        <v>46</v>
      </c>
      <c r="D11" s="5" t="s">
        <v>46</v>
      </c>
      <c r="E11" s="5" t="s">
        <v>39</v>
      </c>
      <c r="F11" s="5" t="s">
        <v>39</v>
      </c>
      <c r="G11" s="5">
        <v>2017</v>
      </c>
      <c r="H11" s="5" t="str">
        <f>CONCATENATE("94270173183")</f>
        <v>94270173183</v>
      </c>
      <c r="I11" s="5" t="s">
        <v>29</v>
      </c>
      <c r="J11" s="5" t="s">
        <v>30</v>
      </c>
      <c r="K11" s="5" t="str">
        <f>CONCATENATE("")</f>
        <v/>
      </c>
      <c r="L11" s="5" t="str">
        <f>CONCATENATE("19 19.2 6b")</f>
        <v>19 19.2 6b</v>
      </c>
      <c r="M11" s="5" t="str">
        <f>CONCATENATE("80004310449")</f>
        <v>80004310449</v>
      </c>
      <c r="N11" s="5" t="s">
        <v>70</v>
      </c>
      <c r="O11" s="5" t="s">
        <v>71</v>
      </c>
      <c r="P11" s="6">
        <v>43872</v>
      </c>
      <c r="Q11" s="5" t="s">
        <v>31</v>
      </c>
      <c r="R11" s="5" t="s">
        <v>40</v>
      </c>
      <c r="S11" s="5" t="s">
        <v>33</v>
      </c>
      <c r="T11" s="5"/>
      <c r="U11" s="7">
        <v>13298.32</v>
      </c>
      <c r="V11" s="7">
        <v>5734.24</v>
      </c>
      <c r="W11" s="7">
        <v>5295.39</v>
      </c>
      <c r="X11" s="5">
        <v>0</v>
      </c>
      <c r="Y11" s="7">
        <v>2268.69</v>
      </c>
    </row>
    <row r="12" spans="1:25" ht="24.75" x14ac:dyDescent="0.25">
      <c r="A12" s="5" t="s">
        <v>26</v>
      </c>
      <c r="B12" s="5" t="s">
        <v>34</v>
      </c>
      <c r="C12" s="5" t="s">
        <v>46</v>
      </c>
      <c r="D12" s="5" t="s">
        <v>51</v>
      </c>
      <c r="E12" s="5" t="s">
        <v>36</v>
      </c>
      <c r="F12" s="5" t="s">
        <v>72</v>
      </c>
      <c r="G12" s="5">
        <v>2017</v>
      </c>
      <c r="H12" s="5" t="str">
        <f>CONCATENATE("74240656004")</f>
        <v>74240656004</v>
      </c>
      <c r="I12" s="5" t="s">
        <v>29</v>
      </c>
      <c r="J12" s="5" t="s">
        <v>30</v>
      </c>
      <c r="K12" s="5" t="str">
        <f>CONCATENATE("")</f>
        <v/>
      </c>
      <c r="L12" s="5" t="str">
        <f>CONCATENATE("11 11.2 4b")</f>
        <v>11 11.2 4b</v>
      </c>
      <c r="M12" s="5" t="str">
        <f>CONCATENATE("01612070431")</f>
        <v>01612070431</v>
      </c>
      <c r="N12" s="5" t="s">
        <v>73</v>
      </c>
      <c r="O12" s="5" t="s">
        <v>62</v>
      </c>
      <c r="P12" s="6">
        <v>43839</v>
      </c>
      <c r="Q12" s="5" t="s">
        <v>31</v>
      </c>
      <c r="R12" s="5" t="s">
        <v>32</v>
      </c>
      <c r="S12" s="5" t="s">
        <v>33</v>
      </c>
      <c r="T12" s="5"/>
      <c r="U12" s="7">
        <v>7396.69</v>
      </c>
      <c r="V12" s="7">
        <v>3189.45</v>
      </c>
      <c r="W12" s="7">
        <v>2945.36</v>
      </c>
      <c r="X12" s="5">
        <v>0</v>
      </c>
      <c r="Y12" s="7">
        <v>1261.8800000000001</v>
      </c>
    </row>
    <row r="13" spans="1:25" ht="24.75" x14ac:dyDescent="0.25">
      <c r="A13" s="5" t="s">
        <v>26</v>
      </c>
      <c r="B13" s="5" t="s">
        <v>34</v>
      </c>
      <c r="C13" s="5" t="s">
        <v>46</v>
      </c>
      <c r="D13" s="5" t="s">
        <v>47</v>
      </c>
      <c r="E13" s="5" t="s">
        <v>28</v>
      </c>
      <c r="F13" s="5" t="s">
        <v>74</v>
      </c>
      <c r="G13" s="5">
        <v>2018</v>
      </c>
      <c r="H13" s="5" t="str">
        <f>CONCATENATE("84241053499")</f>
        <v>84241053499</v>
      </c>
      <c r="I13" s="5" t="s">
        <v>29</v>
      </c>
      <c r="J13" s="5" t="s">
        <v>30</v>
      </c>
      <c r="K13" s="5" t="str">
        <f>CONCATENATE("")</f>
        <v/>
      </c>
      <c r="L13" s="5" t="str">
        <f>CONCATENATE("11 11.2 4b")</f>
        <v>11 11.2 4b</v>
      </c>
      <c r="M13" s="5" t="str">
        <f>CONCATENATE("CAUMCL57S04I749K")</f>
        <v>CAUMCL57S04I749K</v>
      </c>
      <c r="N13" s="5" t="s">
        <v>75</v>
      </c>
      <c r="O13" s="5" t="s">
        <v>62</v>
      </c>
      <c r="P13" s="6">
        <v>43839</v>
      </c>
      <c r="Q13" s="5" t="s">
        <v>31</v>
      </c>
      <c r="R13" s="5" t="s">
        <v>32</v>
      </c>
      <c r="S13" s="5" t="s">
        <v>33</v>
      </c>
      <c r="T13" s="5"/>
      <c r="U13" s="7">
        <v>12572.05</v>
      </c>
      <c r="V13" s="7">
        <v>5421.07</v>
      </c>
      <c r="W13" s="7">
        <v>5006.1899999999996</v>
      </c>
      <c r="X13" s="5">
        <v>0</v>
      </c>
      <c r="Y13" s="7">
        <v>2144.79</v>
      </c>
    </row>
    <row r="14" spans="1:25" x14ac:dyDescent="0.25">
      <c r="A14" s="5" t="s">
        <v>26</v>
      </c>
      <c r="B14" s="5" t="s">
        <v>27</v>
      </c>
      <c r="C14" s="5" t="s">
        <v>46</v>
      </c>
      <c r="D14" s="5" t="s">
        <v>46</v>
      </c>
      <c r="E14" s="5" t="s">
        <v>39</v>
      </c>
      <c r="F14" s="5" t="s">
        <v>39</v>
      </c>
      <c r="G14" s="5">
        <v>2017</v>
      </c>
      <c r="H14" s="5" t="str">
        <f>CONCATENATE("94270173191")</f>
        <v>94270173191</v>
      </c>
      <c r="I14" s="5" t="s">
        <v>29</v>
      </c>
      <c r="J14" s="5" t="s">
        <v>30</v>
      </c>
      <c r="K14" s="5" t="str">
        <f>CONCATENATE("")</f>
        <v/>
      </c>
      <c r="L14" s="5" t="str">
        <f>CONCATENATE("19 19.2 6b")</f>
        <v>19 19.2 6b</v>
      </c>
      <c r="M14" s="5" t="str">
        <f>CONCATENATE("80000490443")</f>
        <v>80000490443</v>
      </c>
      <c r="N14" s="5" t="s">
        <v>76</v>
      </c>
      <c r="O14" s="5" t="s">
        <v>77</v>
      </c>
      <c r="P14" s="6">
        <v>43872</v>
      </c>
      <c r="Q14" s="5" t="s">
        <v>31</v>
      </c>
      <c r="R14" s="5" t="s">
        <v>40</v>
      </c>
      <c r="S14" s="5" t="s">
        <v>33</v>
      </c>
      <c r="T14" s="5"/>
      <c r="U14" s="7">
        <v>17166.34</v>
      </c>
      <c r="V14" s="7">
        <v>7402.13</v>
      </c>
      <c r="W14" s="7">
        <v>6835.64</v>
      </c>
      <c r="X14" s="5">
        <v>0</v>
      </c>
      <c r="Y14" s="7">
        <v>2928.57</v>
      </c>
    </row>
    <row r="15" spans="1:25" ht="24.75" x14ac:dyDescent="0.25">
      <c r="A15" s="5" t="s">
        <v>26</v>
      </c>
      <c r="B15" s="5" t="s">
        <v>34</v>
      </c>
      <c r="C15" s="5" t="s">
        <v>46</v>
      </c>
      <c r="D15" s="5" t="s">
        <v>51</v>
      </c>
      <c r="E15" s="5" t="s">
        <v>41</v>
      </c>
      <c r="F15" s="5" t="s">
        <v>78</v>
      </c>
      <c r="G15" s="5">
        <v>2018</v>
      </c>
      <c r="H15" s="5" t="str">
        <f>CONCATENATE("84240388938")</f>
        <v>84240388938</v>
      </c>
      <c r="I15" s="5" t="s">
        <v>29</v>
      </c>
      <c r="J15" s="5" t="s">
        <v>30</v>
      </c>
      <c r="K15" s="5" t="str">
        <f>CONCATENATE("")</f>
        <v/>
      </c>
      <c r="L15" s="5" t="str">
        <f>CONCATENATE("14 14.1 3a")</f>
        <v>14 14.1 3a</v>
      </c>
      <c r="M15" s="5" t="str">
        <f>CONCATENATE("00139690432")</f>
        <v>00139690432</v>
      </c>
      <c r="N15" s="5" t="s">
        <v>79</v>
      </c>
      <c r="O15" s="5" t="s">
        <v>80</v>
      </c>
      <c r="P15" s="6">
        <v>43878</v>
      </c>
      <c r="Q15" s="5" t="s">
        <v>31</v>
      </c>
      <c r="R15" s="5" t="s">
        <v>32</v>
      </c>
      <c r="S15" s="5" t="s">
        <v>33</v>
      </c>
      <c r="T15" s="5"/>
      <c r="U15" s="7">
        <v>11745.8</v>
      </c>
      <c r="V15" s="7">
        <v>5064.79</v>
      </c>
      <c r="W15" s="7">
        <v>4677.18</v>
      </c>
      <c r="X15" s="5">
        <v>0</v>
      </c>
      <c r="Y15" s="7">
        <v>2003.83</v>
      </c>
    </row>
    <row r="16" spans="1:25" x14ac:dyDescent="0.25">
      <c r="A16" s="5" t="s">
        <v>26</v>
      </c>
      <c r="B16" s="5" t="s">
        <v>34</v>
      </c>
      <c r="C16" s="5" t="s">
        <v>46</v>
      </c>
      <c r="D16" s="5" t="s">
        <v>51</v>
      </c>
      <c r="E16" s="5" t="s">
        <v>43</v>
      </c>
      <c r="F16" s="5" t="s">
        <v>81</v>
      </c>
      <c r="G16" s="5">
        <v>2019</v>
      </c>
      <c r="H16" s="5" t="str">
        <f>CONCATENATE("94770002288")</f>
        <v>94770002288</v>
      </c>
      <c r="I16" s="5" t="s">
        <v>29</v>
      </c>
      <c r="J16" s="5" t="s">
        <v>44</v>
      </c>
      <c r="K16" s="5" t="str">
        <f>CONCATENATE("214")</f>
        <v>214</v>
      </c>
      <c r="L16" s="5" t="str">
        <f>CONCATENATE("11 11.2 4b")</f>
        <v>11 11.2 4b</v>
      </c>
      <c r="M16" s="5" t="str">
        <f>CONCATENATE("CRZGMR87H18E388F")</f>
        <v>CRZGMR87H18E388F</v>
      </c>
      <c r="N16" s="5" t="s">
        <v>82</v>
      </c>
      <c r="O16" s="5" t="s">
        <v>83</v>
      </c>
      <c r="P16" s="6">
        <v>43843</v>
      </c>
      <c r="Q16" s="5" t="s">
        <v>31</v>
      </c>
      <c r="R16" s="5" t="s">
        <v>32</v>
      </c>
      <c r="S16" s="5" t="s">
        <v>33</v>
      </c>
      <c r="T16" s="5"/>
      <c r="U16" s="5">
        <v>634.85</v>
      </c>
      <c r="V16" s="5">
        <v>273.75</v>
      </c>
      <c r="W16" s="5">
        <v>252.8</v>
      </c>
      <c r="X16" s="5">
        <v>0</v>
      </c>
      <c r="Y16" s="5">
        <v>108.3</v>
      </c>
    </row>
    <row r="17" spans="1:25" ht="24.75" x14ac:dyDescent="0.25">
      <c r="A17" s="5" t="s">
        <v>26</v>
      </c>
      <c r="B17" s="5" t="s">
        <v>34</v>
      </c>
      <c r="C17" s="5" t="s">
        <v>46</v>
      </c>
      <c r="D17" s="5" t="s">
        <v>63</v>
      </c>
      <c r="E17" s="5" t="s">
        <v>37</v>
      </c>
      <c r="F17" s="5" t="s">
        <v>84</v>
      </c>
      <c r="G17" s="5">
        <v>2019</v>
      </c>
      <c r="H17" s="5" t="str">
        <f>CONCATENATE("94770015850")</f>
        <v>94770015850</v>
      </c>
      <c r="I17" s="5" t="s">
        <v>29</v>
      </c>
      <c r="J17" s="5" t="s">
        <v>44</v>
      </c>
      <c r="K17" s="5" t="str">
        <f>CONCATENATE("214")</f>
        <v>214</v>
      </c>
      <c r="L17" s="5" t="str">
        <f>CONCATENATE("11 11.1 4b")</f>
        <v>11 11.1 4b</v>
      </c>
      <c r="M17" s="5" t="str">
        <f>CONCATENATE("BTTNNA45L57D965T")</f>
        <v>BTTNNA45L57D965T</v>
      </c>
      <c r="N17" s="5" t="s">
        <v>85</v>
      </c>
      <c r="O17" s="5" t="s">
        <v>83</v>
      </c>
      <c r="P17" s="6">
        <v>43843</v>
      </c>
      <c r="Q17" s="5" t="s">
        <v>31</v>
      </c>
      <c r="R17" s="5" t="s">
        <v>32</v>
      </c>
      <c r="S17" s="5" t="s">
        <v>33</v>
      </c>
      <c r="T17" s="5"/>
      <c r="U17" s="5">
        <v>86.3</v>
      </c>
      <c r="V17" s="5">
        <v>37.21</v>
      </c>
      <c r="W17" s="5">
        <v>34.36</v>
      </c>
      <c r="X17" s="5">
        <v>0</v>
      </c>
      <c r="Y17" s="5">
        <v>14.73</v>
      </c>
    </row>
    <row r="18" spans="1:25" ht="24.75" x14ac:dyDescent="0.25">
      <c r="A18" s="5" t="s">
        <v>26</v>
      </c>
      <c r="B18" s="5" t="s">
        <v>34</v>
      </c>
      <c r="C18" s="5" t="s">
        <v>46</v>
      </c>
      <c r="D18" s="5" t="s">
        <v>63</v>
      </c>
      <c r="E18" s="5" t="s">
        <v>37</v>
      </c>
      <c r="F18" s="5" t="s">
        <v>86</v>
      </c>
      <c r="G18" s="5">
        <v>2019</v>
      </c>
      <c r="H18" s="5" t="str">
        <f>CONCATENATE("94770037524")</f>
        <v>94770037524</v>
      </c>
      <c r="I18" s="5" t="s">
        <v>29</v>
      </c>
      <c r="J18" s="5" t="s">
        <v>44</v>
      </c>
      <c r="K18" s="5" t="str">
        <f>CONCATENATE("214")</f>
        <v>214</v>
      </c>
      <c r="L18" s="5" t="str">
        <f>CONCATENATE("11 11.1 4b")</f>
        <v>11 11.1 4b</v>
      </c>
      <c r="M18" s="5" t="str">
        <f>CONCATENATE("CTNLND88H68Z129N")</f>
        <v>CTNLND88H68Z129N</v>
      </c>
      <c r="N18" s="5" t="s">
        <v>87</v>
      </c>
      <c r="O18" s="5" t="s">
        <v>83</v>
      </c>
      <c r="P18" s="6">
        <v>43843</v>
      </c>
      <c r="Q18" s="5" t="s">
        <v>31</v>
      </c>
      <c r="R18" s="5" t="s">
        <v>32</v>
      </c>
      <c r="S18" s="5" t="s">
        <v>33</v>
      </c>
      <c r="T18" s="5"/>
      <c r="U18" s="7">
        <v>6787.89</v>
      </c>
      <c r="V18" s="7">
        <v>2926.94</v>
      </c>
      <c r="W18" s="7">
        <v>2702.94</v>
      </c>
      <c r="X18" s="5">
        <v>0</v>
      </c>
      <c r="Y18" s="7">
        <v>1158.01</v>
      </c>
    </row>
    <row r="19" spans="1:25" ht="24.75" x14ac:dyDescent="0.25">
      <c r="A19" s="5" t="s">
        <v>26</v>
      </c>
      <c r="B19" s="5" t="s">
        <v>34</v>
      </c>
      <c r="C19" s="5" t="s">
        <v>46</v>
      </c>
      <c r="D19" s="5" t="s">
        <v>63</v>
      </c>
      <c r="E19" s="5" t="s">
        <v>43</v>
      </c>
      <c r="F19" s="5" t="s">
        <v>88</v>
      </c>
      <c r="G19" s="5">
        <v>2019</v>
      </c>
      <c r="H19" s="5" t="str">
        <f>CONCATENATE("94770040114")</f>
        <v>94770040114</v>
      </c>
      <c r="I19" s="5" t="s">
        <v>29</v>
      </c>
      <c r="J19" s="5" t="s">
        <v>44</v>
      </c>
      <c r="K19" s="5" t="str">
        <f>CONCATENATE("214")</f>
        <v>214</v>
      </c>
      <c r="L19" s="5" t="str">
        <f>CONCATENATE("11 11.2 4b")</f>
        <v>11 11.2 4b</v>
      </c>
      <c r="M19" s="5" t="str">
        <f>CONCATENATE("STGSMN83D02E388L")</f>
        <v>STGSMN83D02E388L</v>
      </c>
      <c r="N19" s="5" t="s">
        <v>89</v>
      </c>
      <c r="O19" s="5" t="s">
        <v>83</v>
      </c>
      <c r="P19" s="6">
        <v>43843</v>
      </c>
      <c r="Q19" s="5" t="s">
        <v>31</v>
      </c>
      <c r="R19" s="5" t="s">
        <v>32</v>
      </c>
      <c r="S19" s="5" t="s">
        <v>33</v>
      </c>
      <c r="T19" s="5"/>
      <c r="U19" s="5">
        <v>879.7</v>
      </c>
      <c r="V19" s="5">
        <v>379.33</v>
      </c>
      <c r="W19" s="5">
        <v>350.3</v>
      </c>
      <c r="X19" s="5">
        <v>0</v>
      </c>
      <c r="Y19" s="5">
        <v>150.07</v>
      </c>
    </row>
    <row r="20" spans="1:25" ht="24.75" x14ac:dyDescent="0.25">
      <c r="A20" s="5" t="s">
        <v>26</v>
      </c>
      <c r="B20" s="5" t="s">
        <v>34</v>
      </c>
      <c r="C20" s="5" t="s">
        <v>46</v>
      </c>
      <c r="D20" s="5" t="s">
        <v>63</v>
      </c>
      <c r="E20" s="5" t="s">
        <v>37</v>
      </c>
      <c r="F20" s="5" t="s">
        <v>86</v>
      </c>
      <c r="G20" s="5">
        <v>2019</v>
      </c>
      <c r="H20" s="5" t="str">
        <f>CONCATENATE("94770024324")</f>
        <v>94770024324</v>
      </c>
      <c r="I20" s="5" t="s">
        <v>29</v>
      </c>
      <c r="J20" s="5" t="s">
        <v>44</v>
      </c>
      <c r="K20" s="5" t="str">
        <f>CONCATENATE("214")</f>
        <v>214</v>
      </c>
      <c r="L20" s="5" t="str">
        <f>CONCATENATE("11 11.2 4b")</f>
        <v>11 11.2 4b</v>
      </c>
      <c r="M20" s="5" t="str">
        <f>CONCATENATE("VTLLSE91T56D451D")</f>
        <v>VTLLSE91T56D451D</v>
      </c>
      <c r="N20" s="5" t="s">
        <v>90</v>
      </c>
      <c r="O20" s="5" t="s">
        <v>83</v>
      </c>
      <c r="P20" s="6">
        <v>43843</v>
      </c>
      <c r="Q20" s="5" t="s">
        <v>31</v>
      </c>
      <c r="R20" s="5" t="s">
        <v>32</v>
      </c>
      <c r="S20" s="5" t="s">
        <v>33</v>
      </c>
      <c r="T20" s="5"/>
      <c r="U20" s="5">
        <v>56.09</v>
      </c>
      <c r="V20" s="5">
        <v>24.19</v>
      </c>
      <c r="W20" s="5">
        <v>22.34</v>
      </c>
      <c r="X20" s="5">
        <v>0</v>
      </c>
      <c r="Y20" s="5">
        <v>9.56</v>
      </c>
    </row>
    <row r="21" spans="1:25" ht="24.75" x14ac:dyDescent="0.25">
      <c r="A21" s="5" t="s">
        <v>26</v>
      </c>
      <c r="B21" s="5" t="s">
        <v>34</v>
      </c>
      <c r="C21" s="5" t="s">
        <v>46</v>
      </c>
      <c r="D21" s="5" t="s">
        <v>63</v>
      </c>
      <c r="E21" s="5" t="s">
        <v>37</v>
      </c>
      <c r="F21" s="5" t="s">
        <v>86</v>
      </c>
      <c r="G21" s="5">
        <v>2019</v>
      </c>
      <c r="H21" s="5" t="str">
        <f>CONCATENATE("94770025255")</f>
        <v>94770025255</v>
      </c>
      <c r="I21" s="5" t="s">
        <v>29</v>
      </c>
      <c r="J21" s="5" t="s">
        <v>44</v>
      </c>
      <c r="K21" s="5" t="str">
        <f>CONCATENATE("214")</f>
        <v>214</v>
      </c>
      <c r="L21" s="5" t="str">
        <f>CONCATENATE("11 11.2 4b")</f>
        <v>11 11.2 4b</v>
      </c>
      <c r="M21" s="5" t="str">
        <f>CONCATENATE("VTLRRT61R21I461W")</f>
        <v>VTLRRT61R21I461W</v>
      </c>
      <c r="N21" s="5" t="s">
        <v>91</v>
      </c>
      <c r="O21" s="5" t="s">
        <v>83</v>
      </c>
      <c r="P21" s="6">
        <v>43843</v>
      </c>
      <c r="Q21" s="5" t="s">
        <v>31</v>
      </c>
      <c r="R21" s="5" t="s">
        <v>32</v>
      </c>
      <c r="S21" s="5" t="s">
        <v>33</v>
      </c>
      <c r="T21" s="5"/>
      <c r="U21" s="5">
        <v>61.53</v>
      </c>
      <c r="V21" s="5">
        <v>26.53</v>
      </c>
      <c r="W21" s="5">
        <v>24.5</v>
      </c>
      <c r="X21" s="5">
        <v>0</v>
      </c>
      <c r="Y21" s="5">
        <v>10.5</v>
      </c>
    </row>
    <row r="22" spans="1:25" ht="24.75" x14ac:dyDescent="0.25">
      <c r="A22" s="5" t="s">
        <v>26</v>
      </c>
      <c r="B22" s="5" t="s">
        <v>34</v>
      </c>
      <c r="C22" s="5" t="s">
        <v>46</v>
      </c>
      <c r="D22" s="5" t="s">
        <v>63</v>
      </c>
      <c r="E22" s="5" t="s">
        <v>41</v>
      </c>
      <c r="F22" s="5" t="s">
        <v>92</v>
      </c>
      <c r="G22" s="5">
        <v>2019</v>
      </c>
      <c r="H22" s="5" t="str">
        <f>CONCATENATE("94770032368")</f>
        <v>94770032368</v>
      </c>
      <c r="I22" s="5" t="s">
        <v>29</v>
      </c>
      <c r="J22" s="5" t="s">
        <v>44</v>
      </c>
      <c r="K22" s="5" t="str">
        <f>CONCATENATE("214")</f>
        <v>214</v>
      </c>
      <c r="L22" s="5" t="str">
        <f>CONCATENATE("11 11.2 4b")</f>
        <v>11 11.2 4b</v>
      </c>
      <c r="M22" s="5" t="str">
        <f>CONCATENATE("02224210415")</f>
        <v>02224210415</v>
      </c>
      <c r="N22" s="5" t="s">
        <v>93</v>
      </c>
      <c r="O22" s="5" t="s">
        <v>83</v>
      </c>
      <c r="P22" s="6">
        <v>43843</v>
      </c>
      <c r="Q22" s="5" t="s">
        <v>31</v>
      </c>
      <c r="R22" s="5" t="s">
        <v>32</v>
      </c>
      <c r="S22" s="5" t="s">
        <v>33</v>
      </c>
      <c r="T22" s="5"/>
      <c r="U22" s="7">
        <v>1697.17</v>
      </c>
      <c r="V22" s="5">
        <v>731.82</v>
      </c>
      <c r="W22" s="5">
        <v>675.81</v>
      </c>
      <c r="X22" s="5">
        <v>0</v>
      </c>
      <c r="Y22" s="5">
        <v>289.54000000000002</v>
      </c>
    </row>
    <row r="23" spans="1:25" ht="24.75" x14ac:dyDescent="0.25">
      <c r="A23" s="5" t="s">
        <v>26</v>
      </c>
      <c r="B23" s="5" t="s">
        <v>34</v>
      </c>
      <c r="C23" s="5" t="s">
        <v>46</v>
      </c>
      <c r="D23" s="5" t="s">
        <v>63</v>
      </c>
      <c r="E23" s="5" t="s">
        <v>37</v>
      </c>
      <c r="F23" s="5" t="s">
        <v>86</v>
      </c>
      <c r="G23" s="5">
        <v>2019</v>
      </c>
      <c r="H23" s="5" t="str">
        <f>CONCATENATE("94770025263")</f>
        <v>94770025263</v>
      </c>
      <c r="I23" s="5" t="s">
        <v>29</v>
      </c>
      <c r="J23" s="5" t="s">
        <v>44</v>
      </c>
      <c r="K23" s="5" t="str">
        <f>CONCATENATE("214")</f>
        <v>214</v>
      </c>
      <c r="L23" s="5" t="str">
        <f>CONCATENATE("11 11.2 4b")</f>
        <v>11 11.2 4b</v>
      </c>
      <c r="M23" s="5" t="str">
        <f>CONCATENATE("MREFNC40L01L506T")</f>
        <v>MREFNC40L01L506T</v>
      </c>
      <c r="N23" s="5" t="s">
        <v>94</v>
      </c>
      <c r="O23" s="5" t="s">
        <v>83</v>
      </c>
      <c r="P23" s="6">
        <v>43843</v>
      </c>
      <c r="Q23" s="5" t="s">
        <v>31</v>
      </c>
      <c r="R23" s="5" t="s">
        <v>32</v>
      </c>
      <c r="S23" s="5" t="s">
        <v>33</v>
      </c>
      <c r="T23" s="5"/>
      <c r="U23" s="7">
        <v>1600.5</v>
      </c>
      <c r="V23" s="5">
        <v>690.14</v>
      </c>
      <c r="W23" s="5">
        <v>637.32000000000005</v>
      </c>
      <c r="X23" s="5">
        <v>0</v>
      </c>
      <c r="Y23" s="5">
        <v>273.04000000000002</v>
      </c>
    </row>
    <row r="24" spans="1:25" ht="24.75" x14ac:dyDescent="0.25">
      <c r="A24" s="5" t="s">
        <v>26</v>
      </c>
      <c r="B24" s="5" t="s">
        <v>34</v>
      </c>
      <c r="C24" s="5" t="s">
        <v>46</v>
      </c>
      <c r="D24" s="5" t="s">
        <v>63</v>
      </c>
      <c r="E24" s="5" t="s">
        <v>43</v>
      </c>
      <c r="F24" s="5" t="s">
        <v>81</v>
      </c>
      <c r="G24" s="5">
        <v>2019</v>
      </c>
      <c r="H24" s="5" t="str">
        <f>CONCATENATE("94770003856")</f>
        <v>94770003856</v>
      </c>
      <c r="I24" s="5" t="s">
        <v>29</v>
      </c>
      <c r="J24" s="5" t="s">
        <v>44</v>
      </c>
      <c r="K24" s="5" t="str">
        <f>CONCATENATE("214")</f>
        <v>214</v>
      </c>
      <c r="L24" s="5" t="str">
        <f>CONCATENATE("11 11.2 4b")</f>
        <v>11 11.2 4b</v>
      </c>
      <c r="M24" s="5" t="str">
        <f>CONCATENATE("DSNSNN62R70H501T")</f>
        <v>DSNSNN62R70H501T</v>
      </c>
      <c r="N24" s="5" t="s">
        <v>95</v>
      </c>
      <c r="O24" s="5" t="s">
        <v>83</v>
      </c>
      <c r="P24" s="6">
        <v>43843</v>
      </c>
      <c r="Q24" s="5" t="s">
        <v>31</v>
      </c>
      <c r="R24" s="5" t="s">
        <v>32</v>
      </c>
      <c r="S24" s="5" t="s">
        <v>33</v>
      </c>
      <c r="T24" s="5"/>
      <c r="U24" s="7">
        <v>9310.4</v>
      </c>
      <c r="V24" s="7">
        <v>4014.64</v>
      </c>
      <c r="W24" s="7">
        <v>3707.4</v>
      </c>
      <c r="X24" s="5">
        <v>0</v>
      </c>
      <c r="Y24" s="7">
        <v>1588.36</v>
      </c>
    </row>
    <row r="25" spans="1:25" ht="24.75" x14ac:dyDescent="0.25">
      <c r="A25" s="5" t="s">
        <v>26</v>
      </c>
      <c r="B25" s="5" t="s">
        <v>34</v>
      </c>
      <c r="C25" s="5" t="s">
        <v>46</v>
      </c>
      <c r="D25" s="5" t="s">
        <v>63</v>
      </c>
      <c r="E25" s="5" t="s">
        <v>43</v>
      </c>
      <c r="F25" s="5" t="s">
        <v>96</v>
      </c>
      <c r="G25" s="5">
        <v>2019</v>
      </c>
      <c r="H25" s="5" t="str">
        <f>CONCATENATE("94770036146")</f>
        <v>94770036146</v>
      </c>
      <c r="I25" s="5" t="s">
        <v>29</v>
      </c>
      <c r="J25" s="5" t="s">
        <v>44</v>
      </c>
      <c r="K25" s="5" t="str">
        <f>CONCATENATE("214")</f>
        <v>214</v>
      </c>
      <c r="L25" s="5" t="str">
        <f>CONCATENATE("11 11.2 4b")</f>
        <v>11 11.2 4b</v>
      </c>
      <c r="M25" s="5" t="str">
        <f>CONCATENATE("DBTCRN62R60A271L")</f>
        <v>DBTCRN62R60A271L</v>
      </c>
      <c r="N25" s="5" t="s">
        <v>97</v>
      </c>
      <c r="O25" s="5" t="s">
        <v>83</v>
      </c>
      <c r="P25" s="6">
        <v>43843</v>
      </c>
      <c r="Q25" s="5" t="s">
        <v>31</v>
      </c>
      <c r="R25" s="5" t="s">
        <v>32</v>
      </c>
      <c r="S25" s="5" t="s">
        <v>33</v>
      </c>
      <c r="T25" s="5"/>
      <c r="U25" s="7">
        <v>2504.04</v>
      </c>
      <c r="V25" s="7">
        <v>1079.74</v>
      </c>
      <c r="W25" s="5">
        <v>997.11</v>
      </c>
      <c r="X25" s="5">
        <v>0</v>
      </c>
      <c r="Y25" s="5">
        <v>427.19</v>
      </c>
    </row>
    <row r="26" spans="1:25" ht="24.75" x14ac:dyDescent="0.25">
      <c r="A26" s="5" t="s">
        <v>26</v>
      </c>
      <c r="B26" s="5" t="s">
        <v>34</v>
      </c>
      <c r="C26" s="5" t="s">
        <v>46</v>
      </c>
      <c r="D26" s="5" t="s">
        <v>63</v>
      </c>
      <c r="E26" s="5" t="s">
        <v>38</v>
      </c>
      <c r="F26" s="5" t="s">
        <v>98</v>
      </c>
      <c r="G26" s="5">
        <v>2019</v>
      </c>
      <c r="H26" s="5" t="str">
        <f>CONCATENATE("94770043902")</f>
        <v>94770043902</v>
      </c>
      <c r="I26" s="5" t="s">
        <v>29</v>
      </c>
      <c r="J26" s="5" t="s">
        <v>44</v>
      </c>
      <c r="K26" s="5" t="str">
        <f>CONCATENATE("214")</f>
        <v>214</v>
      </c>
      <c r="L26" s="5" t="str">
        <f>CONCATENATE("11 11.2 4b")</f>
        <v>11 11.2 4b</v>
      </c>
      <c r="M26" s="5" t="str">
        <f>CONCATENATE("MGAMSM56A09A271K")</f>
        <v>MGAMSM56A09A271K</v>
      </c>
      <c r="N26" s="5" t="s">
        <v>99</v>
      </c>
      <c r="O26" s="5" t="s">
        <v>83</v>
      </c>
      <c r="P26" s="6">
        <v>43843</v>
      </c>
      <c r="Q26" s="5" t="s">
        <v>31</v>
      </c>
      <c r="R26" s="5" t="s">
        <v>32</v>
      </c>
      <c r="S26" s="5" t="s">
        <v>33</v>
      </c>
      <c r="T26" s="5"/>
      <c r="U26" s="5">
        <v>393.33</v>
      </c>
      <c r="V26" s="5">
        <v>169.6</v>
      </c>
      <c r="W26" s="5">
        <v>156.62</v>
      </c>
      <c r="X26" s="5">
        <v>0</v>
      </c>
      <c r="Y26" s="5">
        <v>67.11</v>
      </c>
    </row>
    <row r="27" spans="1:25" ht="24.75" x14ac:dyDescent="0.25">
      <c r="A27" s="5" t="s">
        <v>26</v>
      </c>
      <c r="B27" s="5" t="s">
        <v>34</v>
      </c>
      <c r="C27" s="5" t="s">
        <v>46</v>
      </c>
      <c r="D27" s="5" t="s">
        <v>63</v>
      </c>
      <c r="E27" s="5" t="s">
        <v>43</v>
      </c>
      <c r="F27" s="5" t="s">
        <v>88</v>
      </c>
      <c r="G27" s="5">
        <v>2019</v>
      </c>
      <c r="H27" s="5" t="str">
        <f>CONCATENATE("94770040064")</f>
        <v>94770040064</v>
      </c>
      <c r="I27" s="5" t="s">
        <v>29</v>
      </c>
      <c r="J27" s="5" t="s">
        <v>44</v>
      </c>
      <c r="K27" s="5" t="str">
        <f>CONCATENATE("214")</f>
        <v>214</v>
      </c>
      <c r="L27" s="5" t="str">
        <f>CONCATENATE("11 11.2 4b")</f>
        <v>11 11.2 4b</v>
      </c>
      <c r="M27" s="5" t="str">
        <f>CONCATENATE("MREGCR86T16A271J")</f>
        <v>MREGCR86T16A271J</v>
      </c>
      <c r="N27" s="5" t="s">
        <v>100</v>
      </c>
      <c r="O27" s="5" t="s">
        <v>83</v>
      </c>
      <c r="P27" s="6">
        <v>43843</v>
      </c>
      <c r="Q27" s="5" t="s">
        <v>31</v>
      </c>
      <c r="R27" s="5" t="s">
        <v>32</v>
      </c>
      <c r="S27" s="5" t="s">
        <v>33</v>
      </c>
      <c r="T27" s="5"/>
      <c r="U27" s="5">
        <v>686.35</v>
      </c>
      <c r="V27" s="5">
        <v>295.95</v>
      </c>
      <c r="W27" s="5">
        <v>273.3</v>
      </c>
      <c r="X27" s="5">
        <v>0</v>
      </c>
      <c r="Y27" s="5">
        <v>117.1</v>
      </c>
    </row>
    <row r="28" spans="1:25" ht="24.75" x14ac:dyDescent="0.25">
      <c r="A28" s="5" t="s">
        <v>26</v>
      </c>
      <c r="B28" s="5" t="s">
        <v>34</v>
      </c>
      <c r="C28" s="5" t="s">
        <v>46</v>
      </c>
      <c r="D28" s="5" t="s">
        <v>63</v>
      </c>
      <c r="E28" s="5" t="s">
        <v>43</v>
      </c>
      <c r="F28" s="5" t="s">
        <v>88</v>
      </c>
      <c r="G28" s="5">
        <v>2019</v>
      </c>
      <c r="H28" s="5" t="str">
        <f>CONCATENATE("94770040098")</f>
        <v>94770040098</v>
      </c>
      <c r="I28" s="5" t="s">
        <v>29</v>
      </c>
      <c r="J28" s="5" t="s">
        <v>44</v>
      </c>
      <c r="K28" s="5" t="str">
        <f>CONCATENATE("214")</f>
        <v>214</v>
      </c>
      <c r="L28" s="5" t="str">
        <f>CONCATENATE("11 11.2 4b")</f>
        <v>11 11.2 4b</v>
      </c>
      <c r="M28" s="5" t="str">
        <f>CONCATENATE("STGLCN57S22L506X")</f>
        <v>STGLCN57S22L506X</v>
      </c>
      <c r="N28" s="5" t="s">
        <v>101</v>
      </c>
      <c r="O28" s="5" t="s">
        <v>83</v>
      </c>
      <c r="P28" s="6">
        <v>43843</v>
      </c>
      <c r="Q28" s="5" t="s">
        <v>31</v>
      </c>
      <c r="R28" s="5" t="s">
        <v>32</v>
      </c>
      <c r="S28" s="5" t="s">
        <v>33</v>
      </c>
      <c r="T28" s="5"/>
      <c r="U28" s="7">
        <v>1367.59</v>
      </c>
      <c r="V28" s="5">
        <v>589.70000000000005</v>
      </c>
      <c r="W28" s="5">
        <v>544.57000000000005</v>
      </c>
      <c r="X28" s="5">
        <v>0</v>
      </c>
      <c r="Y28" s="5">
        <v>233.32</v>
      </c>
    </row>
    <row r="29" spans="1:25" ht="24.75" x14ac:dyDescent="0.25">
      <c r="A29" s="5" t="s">
        <v>26</v>
      </c>
      <c r="B29" s="5" t="s">
        <v>34</v>
      </c>
      <c r="C29" s="5" t="s">
        <v>46</v>
      </c>
      <c r="D29" s="5" t="s">
        <v>63</v>
      </c>
      <c r="E29" s="5" t="s">
        <v>37</v>
      </c>
      <c r="F29" s="5" t="s">
        <v>86</v>
      </c>
      <c r="G29" s="5">
        <v>2019</v>
      </c>
      <c r="H29" s="5" t="str">
        <f>CONCATENATE("94770023425")</f>
        <v>94770023425</v>
      </c>
      <c r="I29" s="5" t="s">
        <v>29</v>
      </c>
      <c r="J29" s="5" t="s">
        <v>44</v>
      </c>
      <c r="K29" s="5" t="str">
        <f>CONCATENATE("214")</f>
        <v>214</v>
      </c>
      <c r="L29" s="5" t="str">
        <f>CONCATENATE("11 11.2 4b")</f>
        <v>11 11.2 4b</v>
      </c>
      <c r="M29" s="5" t="str">
        <f>CONCATENATE("PLTSTN71A04I461U")</f>
        <v>PLTSTN71A04I461U</v>
      </c>
      <c r="N29" s="5" t="s">
        <v>102</v>
      </c>
      <c r="O29" s="5" t="s">
        <v>83</v>
      </c>
      <c r="P29" s="6">
        <v>43843</v>
      </c>
      <c r="Q29" s="5" t="s">
        <v>31</v>
      </c>
      <c r="R29" s="5" t="s">
        <v>32</v>
      </c>
      <c r="S29" s="5" t="s">
        <v>33</v>
      </c>
      <c r="T29" s="5"/>
      <c r="U29" s="7">
        <v>2965.17</v>
      </c>
      <c r="V29" s="7">
        <v>1278.58</v>
      </c>
      <c r="W29" s="7">
        <v>1180.73</v>
      </c>
      <c r="X29" s="5">
        <v>0</v>
      </c>
      <c r="Y29" s="5">
        <v>505.86</v>
      </c>
    </row>
    <row r="30" spans="1:25" ht="24.75" x14ac:dyDescent="0.25">
      <c r="A30" s="5" t="s">
        <v>26</v>
      </c>
      <c r="B30" s="5" t="s">
        <v>34</v>
      </c>
      <c r="C30" s="5" t="s">
        <v>46</v>
      </c>
      <c r="D30" s="5" t="s">
        <v>63</v>
      </c>
      <c r="E30" s="5" t="s">
        <v>37</v>
      </c>
      <c r="F30" s="5" t="s">
        <v>86</v>
      </c>
      <c r="G30" s="5">
        <v>2019</v>
      </c>
      <c r="H30" s="5" t="str">
        <f>CONCATENATE("94770023631")</f>
        <v>94770023631</v>
      </c>
      <c r="I30" s="5" t="s">
        <v>29</v>
      </c>
      <c r="J30" s="5" t="s">
        <v>44</v>
      </c>
      <c r="K30" s="5" t="str">
        <f>CONCATENATE("214")</f>
        <v>214</v>
      </c>
      <c r="L30" s="5" t="str">
        <f>CONCATENATE("11 11.2 4b")</f>
        <v>11 11.2 4b</v>
      </c>
      <c r="M30" s="5" t="str">
        <f>CONCATENATE("PLTSTN71A04I461U")</f>
        <v>PLTSTN71A04I461U</v>
      </c>
      <c r="N30" s="5" t="s">
        <v>102</v>
      </c>
      <c r="O30" s="5" t="s">
        <v>83</v>
      </c>
      <c r="P30" s="6">
        <v>43843</v>
      </c>
      <c r="Q30" s="5" t="s">
        <v>31</v>
      </c>
      <c r="R30" s="5" t="s">
        <v>32</v>
      </c>
      <c r="S30" s="5" t="s">
        <v>33</v>
      </c>
      <c r="T30" s="5"/>
      <c r="U30" s="7">
        <v>1583.03</v>
      </c>
      <c r="V30" s="5">
        <v>682.6</v>
      </c>
      <c r="W30" s="5">
        <v>630.36</v>
      </c>
      <c r="X30" s="5">
        <v>0</v>
      </c>
      <c r="Y30" s="5">
        <v>270.07</v>
      </c>
    </row>
    <row r="31" spans="1:25" ht="24.75" x14ac:dyDescent="0.25">
      <c r="A31" s="5" t="s">
        <v>26</v>
      </c>
      <c r="B31" s="5" t="s">
        <v>34</v>
      </c>
      <c r="C31" s="5" t="s">
        <v>46</v>
      </c>
      <c r="D31" s="5" t="s">
        <v>63</v>
      </c>
      <c r="E31" s="5" t="s">
        <v>28</v>
      </c>
      <c r="F31" s="5" t="s">
        <v>103</v>
      </c>
      <c r="G31" s="5">
        <v>2019</v>
      </c>
      <c r="H31" s="5" t="str">
        <f>CONCATENATE("94770052036")</f>
        <v>94770052036</v>
      </c>
      <c r="I31" s="5" t="s">
        <v>29</v>
      </c>
      <c r="J31" s="5" t="s">
        <v>44</v>
      </c>
      <c r="K31" s="5" t="str">
        <f>CONCATENATE("214")</f>
        <v>214</v>
      </c>
      <c r="L31" s="5" t="str">
        <f>CONCATENATE("10 10.1 4a")</f>
        <v>10 10.1 4a</v>
      </c>
      <c r="M31" s="5" t="str">
        <f>CONCATENATE("PDCMTR50A63D451U")</f>
        <v>PDCMTR50A63D451U</v>
      </c>
      <c r="N31" s="5" t="s">
        <v>104</v>
      </c>
      <c r="O31" s="5" t="s">
        <v>83</v>
      </c>
      <c r="P31" s="6">
        <v>43843</v>
      </c>
      <c r="Q31" s="5" t="s">
        <v>31</v>
      </c>
      <c r="R31" s="5" t="s">
        <v>32</v>
      </c>
      <c r="S31" s="5" t="s">
        <v>33</v>
      </c>
      <c r="T31" s="5"/>
      <c r="U31" s="5">
        <v>725.4</v>
      </c>
      <c r="V31" s="5">
        <v>312.79000000000002</v>
      </c>
      <c r="W31" s="5">
        <v>288.85000000000002</v>
      </c>
      <c r="X31" s="5">
        <v>0</v>
      </c>
      <c r="Y31" s="5">
        <v>123.76</v>
      </c>
    </row>
    <row r="32" spans="1:25" ht="24.75" x14ac:dyDescent="0.25">
      <c r="A32" s="5" t="s">
        <v>26</v>
      </c>
      <c r="B32" s="5" t="s">
        <v>34</v>
      </c>
      <c r="C32" s="5" t="s">
        <v>46</v>
      </c>
      <c r="D32" s="5" t="s">
        <v>63</v>
      </c>
      <c r="E32" s="5" t="s">
        <v>37</v>
      </c>
      <c r="F32" s="5" t="s">
        <v>86</v>
      </c>
      <c r="G32" s="5">
        <v>2019</v>
      </c>
      <c r="H32" s="5" t="str">
        <f>CONCATENATE("94770017054")</f>
        <v>94770017054</v>
      </c>
      <c r="I32" s="5" t="s">
        <v>29</v>
      </c>
      <c r="J32" s="5" t="s">
        <v>44</v>
      </c>
      <c r="K32" s="5" t="str">
        <f>CONCATENATE("214")</f>
        <v>214</v>
      </c>
      <c r="L32" s="5" t="str">
        <f>CONCATENATE("11 11.2 4b")</f>
        <v>11 11.2 4b</v>
      </c>
      <c r="M32" s="5" t="str">
        <f>CONCATENATE("02600250423")</f>
        <v>02600250423</v>
      </c>
      <c r="N32" s="5" t="s">
        <v>105</v>
      </c>
      <c r="O32" s="5" t="s">
        <v>83</v>
      </c>
      <c r="P32" s="6">
        <v>43843</v>
      </c>
      <c r="Q32" s="5" t="s">
        <v>31</v>
      </c>
      <c r="R32" s="5" t="s">
        <v>32</v>
      </c>
      <c r="S32" s="5" t="s">
        <v>33</v>
      </c>
      <c r="T32" s="5"/>
      <c r="U32" s="5">
        <v>79.94</v>
      </c>
      <c r="V32" s="5">
        <v>34.47</v>
      </c>
      <c r="W32" s="5">
        <v>31.83</v>
      </c>
      <c r="X32" s="5">
        <v>0</v>
      </c>
      <c r="Y32" s="5">
        <v>13.64</v>
      </c>
    </row>
    <row r="33" spans="1:25" ht="24.75" x14ac:dyDescent="0.25">
      <c r="A33" s="5" t="s">
        <v>26</v>
      </c>
      <c r="B33" s="5" t="s">
        <v>34</v>
      </c>
      <c r="C33" s="5" t="s">
        <v>46</v>
      </c>
      <c r="D33" s="5" t="s">
        <v>63</v>
      </c>
      <c r="E33" s="5" t="s">
        <v>36</v>
      </c>
      <c r="F33" s="5" t="s">
        <v>106</v>
      </c>
      <c r="G33" s="5">
        <v>2019</v>
      </c>
      <c r="H33" s="5" t="str">
        <f>CONCATENATE("94770031246")</f>
        <v>94770031246</v>
      </c>
      <c r="I33" s="5" t="s">
        <v>29</v>
      </c>
      <c r="J33" s="5" t="s">
        <v>44</v>
      </c>
      <c r="K33" s="5" t="str">
        <f>CONCATENATE("214")</f>
        <v>214</v>
      </c>
      <c r="L33" s="5" t="str">
        <f>CONCATENATE("11 11.1 4b")</f>
        <v>11 11.1 4b</v>
      </c>
      <c r="M33" s="5" t="str">
        <f>CONCATENATE("02666090424")</f>
        <v>02666090424</v>
      </c>
      <c r="N33" s="5" t="s">
        <v>107</v>
      </c>
      <c r="O33" s="5" t="s">
        <v>83</v>
      </c>
      <c r="P33" s="6">
        <v>43843</v>
      </c>
      <c r="Q33" s="5" t="s">
        <v>31</v>
      </c>
      <c r="R33" s="5" t="s">
        <v>32</v>
      </c>
      <c r="S33" s="5" t="s">
        <v>33</v>
      </c>
      <c r="T33" s="5"/>
      <c r="U33" s="7">
        <v>18545.29</v>
      </c>
      <c r="V33" s="7">
        <v>7996.73</v>
      </c>
      <c r="W33" s="7">
        <v>7384.73</v>
      </c>
      <c r="X33" s="5">
        <v>0</v>
      </c>
      <c r="Y33" s="7">
        <v>3163.83</v>
      </c>
    </row>
    <row r="34" spans="1:25" x14ac:dyDescent="0.25">
      <c r="A34" s="5" t="s">
        <v>26</v>
      </c>
      <c r="B34" s="5" t="s">
        <v>34</v>
      </c>
      <c r="C34" s="5" t="s">
        <v>46</v>
      </c>
      <c r="D34" s="5" t="s">
        <v>51</v>
      </c>
      <c r="E34" s="5" t="s">
        <v>28</v>
      </c>
      <c r="F34" s="5" t="s">
        <v>108</v>
      </c>
      <c r="G34" s="5">
        <v>2018</v>
      </c>
      <c r="H34" s="5" t="str">
        <f>CONCATENATE("84241038342")</f>
        <v>84241038342</v>
      </c>
      <c r="I34" s="5" t="s">
        <v>29</v>
      </c>
      <c r="J34" s="5" t="s">
        <v>30</v>
      </c>
      <c r="K34" s="5" t="str">
        <f>CONCATENATE("")</f>
        <v/>
      </c>
      <c r="L34" s="5" t="str">
        <f>CONCATENATE("11 11.2 4b")</f>
        <v>11 11.2 4b</v>
      </c>
      <c r="M34" s="5" t="str">
        <f>CONCATENATE("01909520437")</f>
        <v>01909520437</v>
      </c>
      <c r="N34" s="5" t="s">
        <v>109</v>
      </c>
      <c r="O34" s="5" t="s">
        <v>62</v>
      </c>
      <c r="P34" s="6">
        <v>43839</v>
      </c>
      <c r="Q34" s="5" t="s">
        <v>31</v>
      </c>
      <c r="R34" s="5" t="s">
        <v>32</v>
      </c>
      <c r="S34" s="5" t="s">
        <v>33</v>
      </c>
      <c r="T34" s="5"/>
      <c r="U34" s="7">
        <v>12757.61</v>
      </c>
      <c r="V34" s="7">
        <v>5501.08</v>
      </c>
      <c r="W34" s="7">
        <v>5080.08</v>
      </c>
      <c r="X34" s="5">
        <v>0</v>
      </c>
      <c r="Y34" s="7">
        <v>2176.4499999999998</v>
      </c>
    </row>
    <row r="35" spans="1:25" x14ac:dyDescent="0.25">
      <c r="A35" s="5" t="s">
        <v>26</v>
      </c>
      <c r="B35" s="5" t="s">
        <v>34</v>
      </c>
      <c r="C35" s="5" t="s">
        <v>46</v>
      </c>
      <c r="D35" s="5" t="s">
        <v>51</v>
      </c>
      <c r="E35" s="5" t="s">
        <v>28</v>
      </c>
      <c r="F35" s="5" t="s">
        <v>108</v>
      </c>
      <c r="G35" s="5">
        <v>2018</v>
      </c>
      <c r="H35" s="5" t="str">
        <f>CONCATENATE("84240572945")</f>
        <v>84240572945</v>
      </c>
      <c r="I35" s="5" t="s">
        <v>29</v>
      </c>
      <c r="J35" s="5" t="s">
        <v>30</v>
      </c>
      <c r="K35" s="5" t="str">
        <f>CONCATENATE("")</f>
        <v/>
      </c>
      <c r="L35" s="5" t="str">
        <f>CONCATENATE("14 14.1 3a")</f>
        <v>14 14.1 3a</v>
      </c>
      <c r="M35" s="5" t="str">
        <f>CONCATENATE("01909520437")</f>
        <v>01909520437</v>
      </c>
      <c r="N35" s="5" t="s">
        <v>109</v>
      </c>
      <c r="O35" s="5" t="s">
        <v>80</v>
      </c>
      <c r="P35" s="6">
        <v>43878</v>
      </c>
      <c r="Q35" s="5" t="s">
        <v>31</v>
      </c>
      <c r="R35" s="5" t="s">
        <v>32</v>
      </c>
      <c r="S35" s="5" t="s">
        <v>33</v>
      </c>
      <c r="T35" s="5"/>
      <c r="U35" s="7">
        <v>2259.6999999999998</v>
      </c>
      <c r="V35" s="5">
        <v>974.38</v>
      </c>
      <c r="W35" s="5">
        <v>899.81</v>
      </c>
      <c r="X35" s="5">
        <v>0</v>
      </c>
      <c r="Y35" s="5">
        <v>385.51</v>
      </c>
    </row>
    <row r="36" spans="1:25" ht="24.75" x14ac:dyDescent="0.25">
      <c r="A36" s="5" t="s">
        <v>26</v>
      </c>
      <c r="B36" s="5" t="s">
        <v>34</v>
      </c>
      <c r="C36" s="5" t="s">
        <v>46</v>
      </c>
      <c r="D36" s="5" t="s">
        <v>63</v>
      </c>
      <c r="E36" s="5" t="s">
        <v>28</v>
      </c>
      <c r="F36" s="5" t="s">
        <v>103</v>
      </c>
      <c r="G36" s="5">
        <v>2019</v>
      </c>
      <c r="H36" s="5" t="str">
        <f>CONCATENATE("94770028440")</f>
        <v>94770028440</v>
      </c>
      <c r="I36" s="5" t="s">
        <v>29</v>
      </c>
      <c r="J36" s="5" t="s">
        <v>44</v>
      </c>
      <c r="K36" s="5" t="str">
        <f>CONCATENATE("214")</f>
        <v>214</v>
      </c>
      <c r="L36" s="5" t="str">
        <f>CONCATENATE("11 11.2 4b")</f>
        <v>11 11.2 4b</v>
      </c>
      <c r="M36" s="5" t="str">
        <f>CONCATENATE("02395070424")</f>
        <v>02395070424</v>
      </c>
      <c r="N36" s="5" t="s">
        <v>110</v>
      </c>
      <c r="O36" s="5" t="s">
        <v>83</v>
      </c>
      <c r="P36" s="6">
        <v>43843</v>
      </c>
      <c r="Q36" s="5" t="s">
        <v>31</v>
      </c>
      <c r="R36" s="5" t="s">
        <v>32</v>
      </c>
      <c r="S36" s="5" t="s">
        <v>33</v>
      </c>
      <c r="T36" s="5"/>
      <c r="U36" s="5">
        <v>108.01</v>
      </c>
      <c r="V36" s="5">
        <v>46.57</v>
      </c>
      <c r="W36" s="5">
        <v>43.01</v>
      </c>
      <c r="X36" s="5">
        <v>0</v>
      </c>
      <c r="Y36" s="5">
        <v>18.43</v>
      </c>
    </row>
    <row r="37" spans="1:25" ht="24.75" x14ac:dyDescent="0.25">
      <c r="A37" s="5" t="s">
        <v>26</v>
      </c>
      <c r="B37" s="5" t="s">
        <v>34</v>
      </c>
      <c r="C37" s="5" t="s">
        <v>46</v>
      </c>
      <c r="D37" s="5" t="s">
        <v>63</v>
      </c>
      <c r="E37" s="5" t="s">
        <v>36</v>
      </c>
      <c r="F37" s="5" t="s">
        <v>106</v>
      </c>
      <c r="G37" s="5">
        <v>2019</v>
      </c>
      <c r="H37" s="5" t="str">
        <f>CONCATENATE("94770020801")</f>
        <v>94770020801</v>
      </c>
      <c r="I37" s="5" t="s">
        <v>29</v>
      </c>
      <c r="J37" s="5" t="s">
        <v>44</v>
      </c>
      <c r="K37" s="5" t="str">
        <f>CONCATENATE("214")</f>
        <v>214</v>
      </c>
      <c r="L37" s="5" t="str">
        <f>CONCATENATE("11 11.1 4b")</f>
        <v>11 11.1 4b</v>
      </c>
      <c r="M37" s="5" t="str">
        <f>CONCATENATE("BLDPRZ60T62D451T")</f>
        <v>BLDPRZ60T62D451T</v>
      </c>
      <c r="N37" s="5" t="s">
        <v>111</v>
      </c>
      <c r="O37" s="5" t="s">
        <v>83</v>
      </c>
      <c r="P37" s="6">
        <v>43843</v>
      </c>
      <c r="Q37" s="5" t="s">
        <v>31</v>
      </c>
      <c r="R37" s="5" t="s">
        <v>32</v>
      </c>
      <c r="S37" s="5" t="s">
        <v>33</v>
      </c>
      <c r="T37" s="5"/>
      <c r="U37" s="7">
        <v>61833.49</v>
      </c>
      <c r="V37" s="7">
        <v>26662.6</v>
      </c>
      <c r="W37" s="7">
        <v>24622.1</v>
      </c>
      <c r="X37" s="5">
        <v>0</v>
      </c>
      <c r="Y37" s="7">
        <v>10548.79</v>
      </c>
    </row>
    <row r="38" spans="1:25" ht="24.75" x14ac:dyDescent="0.25">
      <c r="A38" s="5" t="s">
        <v>26</v>
      </c>
      <c r="B38" s="5" t="s">
        <v>34</v>
      </c>
      <c r="C38" s="5" t="s">
        <v>46</v>
      </c>
      <c r="D38" s="5" t="s">
        <v>63</v>
      </c>
      <c r="E38" s="5" t="s">
        <v>43</v>
      </c>
      <c r="F38" s="5" t="s">
        <v>81</v>
      </c>
      <c r="G38" s="5">
        <v>2019</v>
      </c>
      <c r="H38" s="5" t="str">
        <f>CONCATENATE("94770045311")</f>
        <v>94770045311</v>
      </c>
      <c r="I38" s="5" t="s">
        <v>29</v>
      </c>
      <c r="J38" s="5" t="s">
        <v>44</v>
      </c>
      <c r="K38" s="5" t="str">
        <f>CONCATENATE("214")</f>
        <v>214</v>
      </c>
      <c r="L38" s="5" t="str">
        <f>CONCATENATE("11 11.2 4b")</f>
        <v>11 11.2 4b</v>
      </c>
      <c r="M38" s="5" t="str">
        <f>CONCATENATE("GHSFMN52M51A895T")</f>
        <v>GHSFMN52M51A895T</v>
      </c>
      <c r="N38" s="5" t="s">
        <v>112</v>
      </c>
      <c r="O38" s="5" t="s">
        <v>83</v>
      </c>
      <c r="P38" s="6">
        <v>43843</v>
      </c>
      <c r="Q38" s="5" t="s">
        <v>31</v>
      </c>
      <c r="R38" s="5" t="s">
        <v>32</v>
      </c>
      <c r="S38" s="5" t="s">
        <v>33</v>
      </c>
      <c r="T38" s="5"/>
      <c r="U38" s="7">
        <v>1064.23</v>
      </c>
      <c r="V38" s="5">
        <v>458.9</v>
      </c>
      <c r="W38" s="5">
        <v>423.78</v>
      </c>
      <c r="X38" s="5">
        <v>0</v>
      </c>
      <c r="Y38" s="5">
        <v>181.55</v>
      </c>
    </row>
    <row r="39" spans="1:25" x14ac:dyDescent="0.25">
      <c r="A39" s="5" t="s">
        <v>26</v>
      </c>
      <c r="B39" s="5" t="s">
        <v>27</v>
      </c>
      <c r="C39" s="5" t="s">
        <v>46</v>
      </c>
      <c r="D39" s="5" t="s">
        <v>51</v>
      </c>
      <c r="E39" s="5" t="s">
        <v>39</v>
      </c>
      <c r="F39" s="5" t="s">
        <v>39</v>
      </c>
      <c r="G39" s="5">
        <v>2017</v>
      </c>
      <c r="H39" s="5" t="str">
        <f>CONCATENATE("94270173233")</f>
        <v>94270173233</v>
      </c>
      <c r="I39" s="5" t="s">
        <v>29</v>
      </c>
      <c r="J39" s="5" t="s">
        <v>30</v>
      </c>
      <c r="K39" s="5" t="str">
        <f>CONCATENATE("")</f>
        <v/>
      </c>
      <c r="L39" s="5" t="str">
        <f>CONCATENATE("8 8.3 5e")</f>
        <v>8 8.3 5e</v>
      </c>
      <c r="M39" s="5" t="str">
        <f>CONCATENATE("01874330432")</f>
        <v>01874330432</v>
      </c>
      <c r="N39" s="5" t="s">
        <v>113</v>
      </c>
      <c r="O39" s="5" t="s">
        <v>114</v>
      </c>
      <c r="P39" s="6">
        <v>43878</v>
      </c>
      <c r="Q39" s="5" t="s">
        <v>31</v>
      </c>
      <c r="R39" s="5" t="s">
        <v>32</v>
      </c>
      <c r="S39" s="5" t="s">
        <v>33</v>
      </c>
      <c r="T39" s="5"/>
      <c r="U39" s="7">
        <v>121587.11</v>
      </c>
      <c r="V39" s="7">
        <v>52428.36</v>
      </c>
      <c r="W39" s="7">
        <v>48415.99</v>
      </c>
      <c r="X39" s="5">
        <v>0</v>
      </c>
      <c r="Y39" s="7">
        <v>20742.759999999998</v>
      </c>
    </row>
    <row r="40" spans="1:25" x14ac:dyDescent="0.25">
      <c r="A40" s="5" t="s">
        <v>26</v>
      </c>
      <c r="B40" s="5" t="s">
        <v>27</v>
      </c>
      <c r="C40" s="5" t="s">
        <v>46</v>
      </c>
      <c r="D40" s="5" t="s">
        <v>46</v>
      </c>
      <c r="E40" s="5" t="s">
        <v>39</v>
      </c>
      <c r="F40" s="5" t="s">
        <v>39</v>
      </c>
      <c r="G40" s="5">
        <v>2017</v>
      </c>
      <c r="H40" s="5" t="str">
        <f>CONCATENATE("94270128781")</f>
        <v>94270128781</v>
      </c>
      <c r="I40" s="5" t="s">
        <v>29</v>
      </c>
      <c r="J40" s="5" t="s">
        <v>30</v>
      </c>
      <c r="K40" s="5" t="str">
        <f>CONCATENATE("")</f>
        <v/>
      </c>
      <c r="L40" s="5" t="str">
        <f>CONCATENATE("19 19.2 6b")</f>
        <v>19 19.2 6b</v>
      </c>
      <c r="M40" s="5" t="str">
        <f>CONCATENATE("80004090413")</f>
        <v>80004090413</v>
      </c>
      <c r="N40" s="5" t="s">
        <v>115</v>
      </c>
      <c r="O40" s="5" t="s">
        <v>116</v>
      </c>
      <c r="P40" s="6">
        <v>43865</v>
      </c>
      <c r="Q40" s="5" t="s">
        <v>31</v>
      </c>
      <c r="R40" s="5" t="s">
        <v>40</v>
      </c>
      <c r="S40" s="5" t="s">
        <v>33</v>
      </c>
      <c r="T40" s="5"/>
      <c r="U40" s="7">
        <v>28537.99</v>
      </c>
      <c r="V40" s="7">
        <v>12305.58</v>
      </c>
      <c r="W40" s="7">
        <v>11363.83</v>
      </c>
      <c r="X40" s="5">
        <v>0</v>
      </c>
      <c r="Y40" s="7">
        <v>4868.58</v>
      </c>
    </row>
    <row r="41" spans="1:25" x14ac:dyDescent="0.25">
      <c r="A41" s="5" t="s">
        <v>26</v>
      </c>
      <c r="B41" s="5" t="s">
        <v>27</v>
      </c>
      <c r="C41" s="5" t="s">
        <v>46</v>
      </c>
      <c r="D41" s="5" t="s">
        <v>46</v>
      </c>
      <c r="E41" s="5" t="s">
        <v>28</v>
      </c>
      <c r="F41" s="5" t="s">
        <v>117</v>
      </c>
      <c r="G41" s="5">
        <v>2017</v>
      </c>
      <c r="H41" s="5" t="str">
        <f>CONCATENATE("94270128773")</f>
        <v>94270128773</v>
      </c>
      <c r="I41" s="5" t="s">
        <v>29</v>
      </c>
      <c r="J41" s="5" t="s">
        <v>30</v>
      </c>
      <c r="K41" s="5" t="str">
        <f>CONCATENATE("")</f>
        <v/>
      </c>
      <c r="L41" s="5" t="str">
        <f>CONCATENATE("19 19.2 6b")</f>
        <v>19 19.2 6b</v>
      </c>
      <c r="M41" s="5" t="str">
        <f>CONCATENATE("00360610414")</f>
        <v>00360610414</v>
      </c>
      <c r="N41" s="5" t="s">
        <v>118</v>
      </c>
      <c r="O41" s="5" t="s">
        <v>116</v>
      </c>
      <c r="P41" s="6">
        <v>43865</v>
      </c>
      <c r="Q41" s="5" t="s">
        <v>31</v>
      </c>
      <c r="R41" s="5" t="s">
        <v>40</v>
      </c>
      <c r="S41" s="5" t="s">
        <v>33</v>
      </c>
      <c r="T41" s="5"/>
      <c r="U41" s="7">
        <v>10636.72</v>
      </c>
      <c r="V41" s="7">
        <v>4586.55</v>
      </c>
      <c r="W41" s="7">
        <v>4235.54</v>
      </c>
      <c r="X41" s="5">
        <v>0</v>
      </c>
      <c r="Y41" s="7">
        <v>1814.63</v>
      </c>
    </row>
    <row r="42" spans="1:25" x14ac:dyDescent="0.25">
      <c r="A42" s="5" t="s">
        <v>26</v>
      </c>
      <c r="B42" s="5" t="s">
        <v>27</v>
      </c>
      <c r="C42" s="5" t="s">
        <v>46</v>
      </c>
      <c r="D42" s="5" t="s">
        <v>46</v>
      </c>
      <c r="E42" s="5" t="s">
        <v>39</v>
      </c>
      <c r="F42" s="5" t="s">
        <v>39</v>
      </c>
      <c r="G42" s="5">
        <v>2017</v>
      </c>
      <c r="H42" s="5" t="str">
        <f>CONCATENATE("94270160941")</f>
        <v>94270160941</v>
      </c>
      <c r="I42" s="5" t="s">
        <v>29</v>
      </c>
      <c r="J42" s="5" t="s">
        <v>30</v>
      </c>
      <c r="K42" s="5" t="str">
        <f>CONCATENATE("")</f>
        <v/>
      </c>
      <c r="L42" s="5" t="str">
        <f>CONCATENATE("19 19.2 6b")</f>
        <v>19 19.2 6b</v>
      </c>
      <c r="M42" s="5" t="str">
        <f>CONCATENATE("02681080418")</f>
        <v>02681080418</v>
      </c>
      <c r="N42" s="5" t="s">
        <v>119</v>
      </c>
      <c r="O42" s="5" t="s">
        <v>116</v>
      </c>
      <c r="P42" s="6">
        <v>43865</v>
      </c>
      <c r="Q42" s="5" t="s">
        <v>31</v>
      </c>
      <c r="R42" s="5" t="s">
        <v>40</v>
      </c>
      <c r="S42" s="5" t="s">
        <v>33</v>
      </c>
      <c r="T42" s="5"/>
      <c r="U42" s="7">
        <v>40000</v>
      </c>
      <c r="V42" s="7">
        <v>17248</v>
      </c>
      <c r="W42" s="7">
        <v>15928</v>
      </c>
      <c r="X42" s="5">
        <v>0</v>
      </c>
      <c r="Y42" s="7">
        <v>6824</v>
      </c>
    </row>
    <row r="43" spans="1:25" ht="24.75" x14ac:dyDescent="0.25">
      <c r="A43" s="5" t="s">
        <v>26</v>
      </c>
      <c r="B43" s="5" t="s">
        <v>27</v>
      </c>
      <c r="C43" s="5" t="s">
        <v>46</v>
      </c>
      <c r="D43" s="5" t="s">
        <v>63</v>
      </c>
      <c r="E43" s="5" t="s">
        <v>37</v>
      </c>
      <c r="F43" s="5" t="s">
        <v>64</v>
      </c>
      <c r="G43" s="5">
        <v>2017</v>
      </c>
      <c r="H43" s="5" t="str">
        <f>CONCATENATE("94270172557")</f>
        <v>94270172557</v>
      </c>
      <c r="I43" s="5" t="s">
        <v>29</v>
      </c>
      <c r="J43" s="5" t="s">
        <v>30</v>
      </c>
      <c r="K43" s="5" t="str">
        <f>CONCATENATE("")</f>
        <v/>
      </c>
      <c r="L43" s="5" t="str">
        <f>CONCATENATE("8 8.1 5e")</f>
        <v>8 8.1 5e</v>
      </c>
      <c r="M43" s="5" t="str">
        <f>CONCATENATE("DRSLFA38E08F453Z")</f>
        <v>DRSLFA38E08F453Z</v>
      </c>
      <c r="N43" s="5" t="s">
        <v>120</v>
      </c>
      <c r="O43" s="5" t="s">
        <v>121</v>
      </c>
      <c r="P43" s="6">
        <v>43839</v>
      </c>
      <c r="Q43" s="5" t="s">
        <v>31</v>
      </c>
      <c r="R43" s="5" t="s">
        <v>32</v>
      </c>
      <c r="S43" s="5" t="s">
        <v>33</v>
      </c>
      <c r="T43" s="5"/>
      <c r="U43" s="7">
        <v>11682.95</v>
      </c>
      <c r="V43" s="7">
        <v>5037.6899999999996</v>
      </c>
      <c r="W43" s="7">
        <v>4652.1499999999996</v>
      </c>
      <c r="X43" s="5">
        <v>0</v>
      </c>
      <c r="Y43" s="7">
        <v>1993.11</v>
      </c>
    </row>
    <row r="44" spans="1:25" x14ac:dyDescent="0.25">
      <c r="A44" s="5" t="s">
        <v>26</v>
      </c>
      <c r="B44" s="5" t="s">
        <v>27</v>
      </c>
      <c r="C44" s="5" t="s">
        <v>46</v>
      </c>
      <c r="D44" s="5" t="s">
        <v>46</v>
      </c>
      <c r="E44" s="5" t="s">
        <v>39</v>
      </c>
      <c r="F44" s="5" t="s">
        <v>39</v>
      </c>
      <c r="G44" s="5">
        <v>2017</v>
      </c>
      <c r="H44" s="5" t="str">
        <f>CONCATENATE("94270173142")</f>
        <v>94270173142</v>
      </c>
      <c r="I44" s="5" t="s">
        <v>29</v>
      </c>
      <c r="J44" s="5" t="s">
        <v>30</v>
      </c>
      <c r="K44" s="5" t="str">
        <f>CONCATENATE("")</f>
        <v/>
      </c>
      <c r="L44" s="5" t="str">
        <f>CONCATENATE("19 19.2 6b")</f>
        <v>19 19.2 6b</v>
      </c>
      <c r="M44" s="5" t="str">
        <f>CONCATENATE("80000490443")</f>
        <v>80000490443</v>
      </c>
      <c r="N44" s="5" t="s">
        <v>76</v>
      </c>
      <c r="O44" s="5" t="s">
        <v>122</v>
      </c>
      <c r="P44" s="6">
        <v>43865</v>
      </c>
      <c r="Q44" s="5" t="s">
        <v>31</v>
      </c>
      <c r="R44" s="5" t="s">
        <v>40</v>
      </c>
      <c r="S44" s="5" t="s">
        <v>33</v>
      </c>
      <c r="T44" s="5"/>
      <c r="U44" s="7">
        <v>14800</v>
      </c>
      <c r="V44" s="7">
        <v>6381.76</v>
      </c>
      <c r="W44" s="7">
        <v>5893.36</v>
      </c>
      <c r="X44" s="5">
        <v>0</v>
      </c>
      <c r="Y44" s="7">
        <v>2524.88</v>
      </c>
    </row>
    <row r="45" spans="1:25" ht="24.75" x14ac:dyDescent="0.25">
      <c r="A45" s="5" t="s">
        <v>26</v>
      </c>
      <c r="B45" s="5" t="s">
        <v>27</v>
      </c>
      <c r="C45" s="5" t="s">
        <v>46</v>
      </c>
      <c r="D45" s="5" t="s">
        <v>63</v>
      </c>
      <c r="E45" s="5" t="s">
        <v>39</v>
      </c>
      <c r="F45" s="5" t="s">
        <v>39</v>
      </c>
      <c r="G45" s="5">
        <v>2017</v>
      </c>
      <c r="H45" s="5" t="str">
        <f>CONCATENATE("94270173092")</f>
        <v>94270173092</v>
      </c>
      <c r="I45" s="5" t="s">
        <v>29</v>
      </c>
      <c r="J45" s="5" t="s">
        <v>30</v>
      </c>
      <c r="K45" s="5" t="str">
        <f>CONCATENATE("")</f>
        <v/>
      </c>
      <c r="L45" s="5" t="str">
        <f>CONCATENATE("1 1.1 2a")</f>
        <v>1 1.1 2a</v>
      </c>
      <c r="M45" s="5" t="str">
        <f>CONCATENATE("93086240426")</f>
        <v>93086240426</v>
      </c>
      <c r="N45" s="5" t="s">
        <v>123</v>
      </c>
      <c r="O45" s="5" t="s">
        <v>124</v>
      </c>
      <c r="P45" s="6">
        <v>43865</v>
      </c>
      <c r="Q45" s="5" t="s">
        <v>31</v>
      </c>
      <c r="R45" s="5" t="s">
        <v>32</v>
      </c>
      <c r="S45" s="5" t="s">
        <v>33</v>
      </c>
      <c r="T45" s="5"/>
      <c r="U45" s="7">
        <v>1451.12</v>
      </c>
      <c r="V45" s="5">
        <v>625.72</v>
      </c>
      <c r="W45" s="5">
        <v>577.84</v>
      </c>
      <c r="X45" s="5">
        <v>0</v>
      </c>
      <c r="Y45" s="5">
        <v>247.56</v>
      </c>
    </row>
    <row r="46" spans="1:25" ht="24.75" x14ac:dyDescent="0.25">
      <c r="A46" s="5" t="s">
        <v>26</v>
      </c>
      <c r="B46" s="5" t="s">
        <v>27</v>
      </c>
      <c r="C46" s="5" t="s">
        <v>46</v>
      </c>
      <c r="D46" s="5" t="s">
        <v>63</v>
      </c>
      <c r="E46" s="5" t="s">
        <v>39</v>
      </c>
      <c r="F46" s="5" t="s">
        <v>39</v>
      </c>
      <c r="G46" s="5">
        <v>2017</v>
      </c>
      <c r="H46" s="5" t="str">
        <f>CONCATENATE("94270173126")</f>
        <v>94270173126</v>
      </c>
      <c r="I46" s="5" t="s">
        <v>29</v>
      </c>
      <c r="J46" s="5" t="s">
        <v>30</v>
      </c>
      <c r="K46" s="5" t="str">
        <f>CONCATENATE("")</f>
        <v/>
      </c>
      <c r="L46" s="5" t="str">
        <f>CONCATENATE("1 1.1 2a")</f>
        <v>1 1.1 2a</v>
      </c>
      <c r="M46" s="5" t="str">
        <f>CONCATENATE("93086240426")</f>
        <v>93086240426</v>
      </c>
      <c r="N46" s="5" t="s">
        <v>123</v>
      </c>
      <c r="O46" s="5" t="s">
        <v>124</v>
      </c>
      <c r="P46" s="6">
        <v>43865</v>
      </c>
      <c r="Q46" s="5" t="s">
        <v>31</v>
      </c>
      <c r="R46" s="5" t="s">
        <v>32</v>
      </c>
      <c r="S46" s="5" t="s">
        <v>33</v>
      </c>
      <c r="T46" s="5"/>
      <c r="U46" s="7">
        <v>2112</v>
      </c>
      <c r="V46" s="5">
        <v>910.69</v>
      </c>
      <c r="W46" s="5">
        <v>841</v>
      </c>
      <c r="X46" s="5">
        <v>0</v>
      </c>
      <c r="Y46" s="5">
        <v>360.31</v>
      </c>
    </row>
    <row r="47" spans="1:25" ht="24.75" x14ac:dyDescent="0.25">
      <c r="A47" s="5" t="s">
        <v>26</v>
      </c>
      <c r="B47" s="5" t="s">
        <v>27</v>
      </c>
      <c r="C47" s="5" t="s">
        <v>46</v>
      </c>
      <c r="D47" s="5" t="s">
        <v>63</v>
      </c>
      <c r="E47" s="5" t="s">
        <v>39</v>
      </c>
      <c r="F47" s="5" t="s">
        <v>39</v>
      </c>
      <c r="G47" s="5">
        <v>2017</v>
      </c>
      <c r="H47" s="5" t="str">
        <f>CONCATENATE("94270173100")</f>
        <v>94270173100</v>
      </c>
      <c r="I47" s="5" t="s">
        <v>29</v>
      </c>
      <c r="J47" s="5" t="s">
        <v>30</v>
      </c>
      <c r="K47" s="5" t="str">
        <f>CONCATENATE("")</f>
        <v/>
      </c>
      <c r="L47" s="5" t="str">
        <f>CONCATENATE("1 1.1 2a")</f>
        <v>1 1.1 2a</v>
      </c>
      <c r="M47" s="5" t="str">
        <f>CONCATENATE("93086240426")</f>
        <v>93086240426</v>
      </c>
      <c r="N47" s="5" t="s">
        <v>123</v>
      </c>
      <c r="O47" s="5" t="s">
        <v>124</v>
      </c>
      <c r="P47" s="6">
        <v>43865</v>
      </c>
      <c r="Q47" s="5" t="s">
        <v>31</v>
      </c>
      <c r="R47" s="5" t="s">
        <v>32</v>
      </c>
      <c r="S47" s="5" t="s">
        <v>33</v>
      </c>
      <c r="T47" s="5"/>
      <c r="U47" s="7">
        <v>1152.3599999999999</v>
      </c>
      <c r="V47" s="5">
        <v>496.9</v>
      </c>
      <c r="W47" s="5">
        <v>458.87</v>
      </c>
      <c r="X47" s="5">
        <v>0</v>
      </c>
      <c r="Y47" s="5">
        <v>196.59</v>
      </c>
    </row>
    <row r="48" spans="1:25" ht="24.75" x14ac:dyDescent="0.25">
      <c r="A48" s="5" t="s">
        <v>26</v>
      </c>
      <c r="B48" s="5" t="s">
        <v>27</v>
      </c>
      <c r="C48" s="5" t="s">
        <v>46</v>
      </c>
      <c r="D48" s="5" t="s">
        <v>63</v>
      </c>
      <c r="E48" s="5" t="s">
        <v>39</v>
      </c>
      <c r="F48" s="5" t="s">
        <v>39</v>
      </c>
      <c r="G48" s="5">
        <v>2017</v>
      </c>
      <c r="H48" s="5" t="str">
        <f>CONCATENATE("94270173118")</f>
        <v>94270173118</v>
      </c>
      <c r="I48" s="5" t="s">
        <v>29</v>
      </c>
      <c r="J48" s="5" t="s">
        <v>30</v>
      </c>
      <c r="K48" s="5" t="str">
        <f>CONCATENATE("")</f>
        <v/>
      </c>
      <c r="L48" s="5" t="str">
        <f>CONCATENATE("1 1.1 2a")</f>
        <v>1 1.1 2a</v>
      </c>
      <c r="M48" s="5" t="str">
        <f>CONCATENATE("93086240426")</f>
        <v>93086240426</v>
      </c>
      <c r="N48" s="5" t="s">
        <v>123</v>
      </c>
      <c r="O48" s="5" t="s">
        <v>124</v>
      </c>
      <c r="P48" s="6">
        <v>43865</v>
      </c>
      <c r="Q48" s="5" t="s">
        <v>31</v>
      </c>
      <c r="R48" s="5" t="s">
        <v>32</v>
      </c>
      <c r="S48" s="5" t="s">
        <v>33</v>
      </c>
      <c r="T48" s="5"/>
      <c r="U48" s="7">
        <v>1813.87</v>
      </c>
      <c r="V48" s="5">
        <v>782.14</v>
      </c>
      <c r="W48" s="5">
        <v>722.28</v>
      </c>
      <c r="X48" s="5">
        <v>0</v>
      </c>
      <c r="Y48" s="5">
        <v>309.45</v>
      </c>
    </row>
    <row r="49" spans="1:25" ht="24.75" x14ac:dyDescent="0.25">
      <c r="A49" s="5" t="s">
        <v>26</v>
      </c>
      <c r="B49" s="5" t="s">
        <v>27</v>
      </c>
      <c r="C49" s="5" t="s">
        <v>46</v>
      </c>
      <c r="D49" s="5" t="s">
        <v>51</v>
      </c>
      <c r="E49" s="5" t="s">
        <v>39</v>
      </c>
      <c r="F49" s="5" t="s">
        <v>39</v>
      </c>
      <c r="G49" s="5">
        <v>2017</v>
      </c>
      <c r="H49" s="5" t="str">
        <f>CONCATENATE("94270173068")</f>
        <v>94270173068</v>
      </c>
      <c r="I49" s="5" t="s">
        <v>29</v>
      </c>
      <c r="J49" s="5" t="s">
        <v>30</v>
      </c>
      <c r="K49" s="5" t="str">
        <f>CONCATENATE("")</f>
        <v/>
      </c>
      <c r="L49" s="5" t="str">
        <f>CONCATENATE("1 1.1 2a")</f>
        <v>1 1.1 2a</v>
      </c>
      <c r="M49" s="5" t="str">
        <f>CONCATENATE("01463380434")</f>
        <v>01463380434</v>
      </c>
      <c r="N49" s="5" t="s">
        <v>125</v>
      </c>
      <c r="O49" s="5" t="s">
        <v>124</v>
      </c>
      <c r="P49" s="6">
        <v>43865</v>
      </c>
      <c r="Q49" s="5" t="s">
        <v>31</v>
      </c>
      <c r="R49" s="5" t="s">
        <v>32</v>
      </c>
      <c r="S49" s="5" t="s">
        <v>33</v>
      </c>
      <c r="T49" s="5"/>
      <c r="U49" s="7">
        <v>2077.16</v>
      </c>
      <c r="V49" s="5">
        <v>895.67</v>
      </c>
      <c r="W49" s="5">
        <v>827.13</v>
      </c>
      <c r="X49" s="5">
        <v>0</v>
      </c>
      <c r="Y49" s="5">
        <v>354.36</v>
      </c>
    </row>
    <row r="50" spans="1:25" x14ac:dyDescent="0.25">
      <c r="A50" s="5" t="s">
        <v>26</v>
      </c>
      <c r="B50" s="5" t="s">
        <v>27</v>
      </c>
      <c r="C50" s="5" t="s">
        <v>46</v>
      </c>
      <c r="D50" s="5" t="s">
        <v>46</v>
      </c>
      <c r="E50" s="5" t="s">
        <v>39</v>
      </c>
      <c r="F50" s="5" t="s">
        <v>39</v>
      </c>
      <c r="G50" s="5">
        <v>2017</v>
      </c>
      <c r="H50" s="5" t="str">
        <f>CONCATENATE("94270173134")</f>
        <v>94270173134</v>
      </c>
      <c r="I50" s="5" t="s">
        <v>29</v>
      </c>
      <c r="J50" s="5" t="s">
        <v>30</v>
      </c>
      <c r="K50" s="5" t="str">
        <f>CONCATENATE("")</f>
        <v/>
      </c>
      <c r="L50" s="5" t="str">
        <f>CONCATENATE("19 19.2 6b")</f>
        <v>19 19.2 6b</v>
      </c>
      <c r="M50" s="5" t="str">
        <f>CONCATENATE("80004310449")</f>
        <v>80004310449</v>
      </c>
      <c r="N50" s="5" t="s">
        <v>70</v>
      </c>
      <c r="O50" s="5" t="s">
        <v>126</v>
      </c>
      <c r="P50" s="6">
        <v>43865</v>
      </c>
      <c r="Q50" s="5" t="s">
        <v>31</v>
      </c>
      <c r="R50" s="5" t="s">
        <v>40</v>
      </c>
      <c r="S50" s="5" t="s">
        <v>33</v>
      </c>
      <c r="T50" s="5"/>
      <c r="U50" s="7">
        <v>17500</v>
      </c>
      <c r="V50" s="7">
        <v>7546</v>
      </c>
      <c r="W50" s="7">
        <v>6968.5</v>
      </c>
      <c r="X50" s="5">
        <v>0</v>
      </c>
      <c r="Y50" s="7">
        <v>2985.5</v>
      </c>
    </row>
    <row r="51" spans="1:25" x14ac:dyDescent="0.25">
      <c r="A51" s="5" t="s">
        <v>26</v>
      </c>
      <c r="B51" s="5" t="s">
        <v>34</v>
      </c>
      <c r="C51" s="5" t="s">
        <v>46</v>
      </c>
      <c r="D51" s="5" t="s">
        <v>51</v>
      </c>
      <c r="E51" s="5" t="s">
        <v>36</v>
      </c>
      <c r="F51" s="5" t="s">
        <v>72</v>
      </c>
      <c r="G51" s="5">
        <v>2014</v>
      </c>
      <c r="H51" s="5" t="str">
        <f>CONCATENATE("44730078613")</f>
        <v>44730078613</v>
      </c>
      <c r="I51" s="5" t="s">
        <v>29</v>
      </c>
      <c r="J51" s="5" t="s">
        <v>44</v>
      </c>
      <c r="K51" s="5" t="str">
        <f>CONCATENATE("221")</f>
        <v>221</v>
      </c>
      <c r="L51" s="5" t="str">
        <f>CONCATENATE("8 8.1 5e")</f>
        <v>8 8.1 5e</v>
      </c>
      <c r="M51" s="5" t="str">
        <f>CONCATENATE("01627390436")</f>
        <v>01627390436</v>
      </c>
      <c r="N51" s="5" t="s">
        <v>127</v>
      </c>
      <c r="O51" s="5" t="s">
        <v>128</v>
      </c>
      <c r="P51" s="6">
        <v>43843</v>
      </c>
      <c r="Q51" s="5" t="s">
        <v>31</v>
      </c>
      <c r="R51" s="5" t="s">
        <v>32</v>
      </c>
      <c r="S51" s="5" t="s">
        <v>33</v>
      </c>
      <c r="T51" s="5"/>
      <c r="U51" s="7">
        <v>11544.36</v>
      </c>
      <c r="V51" s="7">
        <v>4977.93</v>
      </c>
      <c r="W51" s="7">
        <v>4596.96</v>
      </c>
      <c r="X51" s="5">
        <v>0</v>
      </c>
      <c r="Y51" s="7">
        <v>1969.47</v>
      </c>
    </row>
    <row r="52" spans="1:25" ht="24.75" x14ac:dyDescent="0.25">
      <c r="A52" s="5" t="s">
        <v>26</v>
      </c>
      <c r="B52" s="5" t="s">
        <v>27</v>
      </c>
      <c r="C52" s="5" t="s">
        <v>46</v>
      </c>
      <c r="D52" s="5" t="s">
        <v>56</v>
      </c>
      <c r="E52" s="5" t="s">
        <v>35</v>
      </c>
      <c r="F52" s="5" t="s">
        <v>57</v>
      </c>
      <c r="G52" s="5">
        <v>2017</v>
      </c>
      <c r="H52" s="5" t="str">
        <f>CONCATENATE("94270173076")</f>
        <v>94270173076</v>
      </c>
      <c r="I52" s="5" t="s">
        <v>29</v>
      </c>
      <c r="J52" s="5" t="s">
        <v>30</v>
      </c>
      <c r="K52" s="5" t="str">
        <f>CONCATENATE("")</f>
        <v/>
      </c>
      <c r="L52" s="5" t="str">
        <f>CONCATENATE("4 4.2 3a")</f>
        <v>4 4.2 3a</v>
      </c>
      <c r="M52" s="5" t="str">
        <f>CONCATENATE("00097830442")</f>
        <v>00097830442</v>
      </c>
      <c r="N52" s="5" t="s">
        <v>129</v>
      </c>
      <c r="O52" s="5" t="s">
        <v>130</v>
      </c>
      <c r="P52" s="6">
        <v>43865</v>
      </c>
      <c r="Q52" s="5" t="s">
        <v>31</v>
      </c>
      <c r="R52" s="5" t="s">
        <v>32</v>
      </c>
      <c r="S52" s="5" t="s">
        <v>33</v>
      </c>
      <c r="T52" s="5"/>
      <c r="U52" s="7">
        <v>35372.71</v>
      </c>
      <c r="V52" s="7">
        <v>15252.71</v>
      </c>
      <c r="W52" s="7">
        <v>14085.41</v>
      </c>
      <c r="X52" s="5">
        <v>0</v>
      </c>
      <c r="Y52" s="7">
        <v>6034.59</v>
      </c>
    </row>
    <row r="53" spans="1:25" ht="24.75" x14ac:dyDescent="0.25">
      <c r="A53" s="5" t="s">
        <v>26</v>
      </c>
      <c r="B53" s="5" t="s">
        <v>34</v>
      </c>
      <c r="C53" s="5" t="s">
        <v>46</v>
      </c>
      <c r="D53" s="5" t="s">
        <v>47</v>
      </c>
      <c r="E53" s="5" t="s">
        <v>37</v>
      </c>
      <c r="F53" s="5" t="s">
        <v>131</v>
      </c>
      <c r="G53" s="5">
        <v>2019</v>
      </c>
      <c r="H53" s="5" t="str">
        <f>CONCATENATE("94770041898")</f>
        <v>94770041898</v>
      </c>
      <c r="I53" s="5" t="s">
        <v>29</v>
      </c>
      <c r="J53" s="5" t="s">
        <v>44</v>
      </c>
      <c r="K53" s="5" t="str">
        <f>CONCATENATE("214")</f>
        <v>214</v>
      </c>
      <c r="L53" s="5" t="str">
        <f>CONCATENATE("11 11.2 4b")</f>
        <v>11 11.2 4b</v>
      </c>
      <c r="M53" s="5" t="str">
        <f>CONCATENATE("TGLNRM57S60D749L")</f>
        <v>TGLNRM57S60D749L</v>
      </c>
      <c r="N53" s="5" t="s">
        <v>132</v>
      </c>
      <c r="O53" s="5" t="s">
        <v>133</v>
      </c>
      <c r="P53" s="6">
        <v>43843</v>
      </c>
      <c r="Q53" s="5" t="s">
        <v>31</v>
      </c>
      <c r="R53" s="5" t="s">
        <v>32</v>
      </c>
      <c r="S53" s="5" t="s">
        <v>33</v>
      </c>
      <c r="T53" s="5"/>
      <c r="U53" s="5">
        <v>567.85</v>
      </c>
      <c r="V53" s="5">
        <v>244.86</v>
      </c>
      <c r="W53" s="5">
        <v>226.12</v>
      </c>
      <c r="X53" s="5">
        <v>0</v>
      </c>
      <c r="Y53" s="5">
        <v>96.87</v>
      </c>
    </row>
    <row r="54" spans="1:25" ht="24.75" x14ac:dyDescent="0.25">
      <c r="A54" s="5" t="s">
        <v>26</v>
      </c>
      <c r="B54" s="5" t="s">
        <v>27</v>
      </c>
      <c r="C54" s="5" t="s">
        <v>46</v>
      </c>
      <c r="D54" s="5" t="s">
        <v>63</v>
      </c>
      <c r="E54" s="5" t="s">
        <v>39</v>
      </c>
      <c r="F54" s="5" t="s">
        <v>39</v>
      </c>
      <c r="G54" s="5">
        <v>2017</v>
      </c>
      <c r="H54" s="5" t="str">
        <f>CONCATENATE("94270173225")</f>
        <v>94270173225</v>
      </c>
      <c r="I54" s="5" t="s">
        <v>29</v>
      </c>
      <c r="J54" s="5" t="s">
        <v>30</v>
      </c>
      <c r="K54" s="5" t="str">
        <f>CONCATENATE("")</f>
        <v/>
      </c>
      <c r="L54" s="5" t="str">
        <f>CONCATENATE("1 1.1 2a")</f>
        <v>1 1.1 2a</v>
      </c>
      <c r="M54" s="5" t="str">
        <f>CONCATENATE("02051370423")</f>
        <v>02051370423</v>
      </c>
      <c r="N54" s="5" t="s">
        <v>134</v>
      </c>
      <c r="O54" s="5" t="s">
        <v>135</v>
      </c>
      <c r="P54" s="6">
        <v>43872</v>
      </c>
      <c r="Q54" s="5" t="s">
        <v>31</v>
      </c>
      <c r="R54" s="5" t="s">
        <v>32</v>
      </c>
      <c r="S54" s="5" t="s">
        <v>33</v>
      </c>
      <c r="T54" s="5"/>
      <c r="U54" s="7">
        <v>2728</v>
      </c>
      <c r="V54" s="7">
        <v>1176.31</v>
      </c>
      <c r="W54" s="7">
        <v>1086.29</v>
      </c>
      <c r="X54" s="5">
        <v>0</v>
      </c>
      <c r="Y54" s="5">
        <v>465.4</v>
      </c>
    </row>
    <row r="55" spans="1:25" ht="24.75" x14ac:dyDescent="0.25">
      <c r="A55" s="5" t="s">
        <v>26</v>
      </c>
      <c r="B55" s="5" t="s">
        <v>27</v>
      </c>
      <c r="C55" s="5" t="s">
        <v>46</v>
      </c>
      <c r="D55" s="5" t="s">
        <v>63</v>
      </c>
      <c r="E55" s="5" t="s">
        <v>39</v>
      </c>
      <c r="F55" s="5" t="s">
        <v>39</v>
      </c>
      <c r="G55" s="5">
        <v>2017</v>
      </c>
      <c r="H55" s="5" t="str">
        <f>CONCATENATE("94270173217")</f>
        <v>94270173217</v>
      </c>
      <c r="I55" s="5" t="s">
        <v>29</v>
      </c>
      <c r="J55" s="5" t="s">
        <v>30</v>
      </c>
      <c r="K55" s="5" t="str">
        <f>CONCATENATE("")</f>
        <v/>
      </c>
      <c r="L55" s="5" t="str">
        <f>CONCATENATE("1 1.1 2a")</f>
        <v>1 1.1 2a</v>
      </c>
      <c r="M55" s="5" t="str">
        <f>CONCATENATE("02051370423")</f>
        <v>02051370423</v>
      </c>
      <c r="N55" s="5" t="s">
        <v>134</v>
      </c>
      <c r="O55" s="5" t="s">
        <v>135</v>
      </c>
      <c r="P55" s="6">
        <v>43872</v>
      </c>
      <c r="Q55" s="5" t="s">
        <v>31</v>
      </c>
      <c r="R55" s="5" t="s">
        <v>32</v>
      </c>
      <c r="S55" s="5" t="s">
        <v>33</v>
      </c>
      <c r="T55" s="5"/>
      <c r="U55" s="7">
        <v>2767.45</v>
      </c>
      <c r="V55" s="7">
        <v>1193.32</v>
      </c>
      <c r="W55" s="7">
        <v>1102</v>
      </c>
      <c r="X55" s="5">
        <v>0</v>
      </c>
      <c r="Y55" s="5">
        <v>472.13</v>
      </c>
    </row>
    <row r="56" spans="1:25" ht="24.75" x14ac:dyDescent="0.25">
      <c r="A56" s="5" t="s">
        <v>26</v>
      </c>
      <c r="B56" s="5" t="s">
        <v>34</v>
      </c>
      <c r="C56" s="5" t="s">
        <v>46</v>
      </c>
      <c r="D56" s="5" t="s">
        <v>47</v>
      </c>
      <c r="E56" s="5" t="s">
        <v>28</v>
      </c>
      <c r="F56" s="5" t="s">
        <v>136</v>
      </c>
      <c r="G56" s="5">
        <v>2018</v>
      </c>
      <c r="H56" s="5" t="str">
        <f>CONCATENATE("84240822787")</f>
        <v>84240822787</v>
      </c>
      <c r="I56" s="5" t="s">
        <v>42</v>
      </c>
      <c r="J56" s="5" t="s">
        <v>30</v>
      </c>
      <c r="K56" s="5" t="str">
        <f>CONCATENATE("")</f>
        <v/>
      </c>
      <c r="L56" s="5" t="str">
        <f>CONCATENATE("10 10.1 4a")</f>
        <v>10 10.1 4a</v>
      </c>
      <c r="M56" s="5" t="str">
        <f>CONCATENATE("RFFJCB96T25L500S")</f>
        <v>RFFJCB96T25L500S</v>
      </c>
      <c r="N56" s="5" t="s">
        <v>137</v>
      </c>
      <c r="O56" s="5" t="s">
        <v>138</v>
      </c>
      <c r="P56" s="6">
        <v>43839</v>
      </c>
      <c r="Q56" s="5" t="s">
        <v>31</v>
      </c>
      <c r="R56" s="5" t="s">
        <v>32</v>
      </c>
      <c r="S56" s="5" t="s">
        <v>33</v>
      </c>
      <c r="T56" s="5"/>
      <c r="U56" s="5">
        <v>200</v>
      </c>
      <c r="V56" s="5">
        <v>86.24</v>
      </c>
      <c r="W56" s="5">
        <v>79.64</v>
      </c>
      <c r="X56" s="5">
        <v>0</v>
      </c>
      <c r="Y56" s="5">
        <v>34.119999999999997</v>
      </c>
    </row>
    <row r="57" spans="1:25" ht="24.75" x14ac:dyDescent="0.25">
      <c r="A57" s="5" t="s">
        <v>26</v>
      </c>
      <c r="B57" s="5" t="s">
        <v>34</v>
      </c>
      <c r="C57" s="5" t="s">
        <v>46</v>
      </c>
      <c r="D57" s="5" t="s">
        <v>51</v>
      </c>
      <c r="E57" s="5" t="s">
        <v>41</v>
      </c>
      <c r="F57" s="5" t="s">
        <v>139</v>
      </c>
      <c r="G57" s="5">
        <v>2017</v>
      </c>
      <c r="H57" s="5" t="str">
        <f>CONCATENATE("74210720079")</f>
        <v>74210720079</v>
      </c>
      <c r="I57" s="5" t="s">
        <v>42</v>
      </c>
      <c r="J57" s="5" t="s">
        <v>30</v>
      </c>
      <c r="K57" s="5" t="str">
        <f>CONCATENATE("")</f>
        <v/>
      </c>
      <c r="L57" s="5" t="str">
        <f>CONCATENATE("13 13.1 4a")</f>
        <v>13 13.1 4a</v>
      </c>
      <c r="M57" s="5" t="str">
        <f>CONCATENATE("01913780431")</f>
        <v>01913780431</v>
      </c>
      <c r="N57" s="5" t="s">
        <v>140</v>
      </c>
      <c r="O57" s="5" t="s">
        <v>141</v>
      </c>
      <c r="P57" s="6">
        <v>43438</v>
      </c>
      <c r="Q57" s="5" t="s">
        <v>31</v>
      </c>
      <c r="R57" s="5" t="s">
        <v>32</v>
      </c>
      <c r="S57" s="5" t="s">
        <v>33</v>
      </c>
      <c r="T57" s="5"/>
      <c r="U57" s="7">
        <v>1837.9</v>
      </c>
      <c r="V57" s="5">
        <v>792.5</v>
      </c>
      <c r="W57" s="5">
        <v>731.85</v>
      </c>
      <c r="X57" s="5">
        <v>0</v>
      </c>
      <c r="Y57" s="5">
        <v>313.55</v>
      </c>
    </row>
    <row r="58" spans="1:25" ht="24.75" x14ac:dyDescent="0.25">
      <c r="A58" s="5" t="s">
        <v>26</v>
      </c>
      <c r="B58" s="5" t="s">
        <v>27</v>
      </c>
      <c r="C58" s="5" t="s">
        <v>46</v>
      </c>
      <c r="D58" s="5" t="s">
        <v>63</v>
      </c>
      <c r="E58" s="5" t="s">
        <v>39</v>
      </c>
      <c r="F58" s="5" t="s">
        <v>39</v>
      </c>
      <c r="G58" s="5">
        <v>2017</v>
      </c>
      <c r="H58" s="5" t="str">
        <f>CONCATENATE("94270170858")</f>
        <v>94270170858</v>
      </c>
      <c r="I58" s="5" t="s">
        <v>29</v>
      </c>
      <c r="J58" s="5" t="s">
        <v>30</v>
      </c>
      <c r="K58" s="5" t="str">
        <f>CONCATENATE("")</f>
        <v/>
      </c>
      <c r="L58" s="5" t="str">
        <f>CONCATENATE("20 20.1 ")</f>
        <v xml:space="preserve">20 20.1 </v>
      </c>
      <c r="M58" s="5" t="str">
        <f>CONCATENATE("80008630420")</f>
        <v>80008630420</v>
      </c>
      <c r="N58" s="5" t="s">
        <v>142</v>
      </c>
      <c r="O58" s="5" t="s">
        <v>143</v>
      </c>
      <c r="P58" s="6">
        <v>43839</v>
      </c>
      <c r="Q58" s="5" t="s">
        <v>31</v>
      </c>
      <c r="R58" s="5" t="s">
        <v>45</v>
      </c>
      <c r="S58" s="5" t="s">
        <v>33</v>
      </c>
      <c r="T58" s="5"/>
      <c r="U58" s="7">
        <v>133102</v>
      </c>
      <c r="V58" s="7">
        <v>57393.58</v>
      </c>
      <c r="W58" s="7">
        <v>53001.22</v>
      </c>
      <c r="X58" s="5">
        <v>0</v>
      </c>
      <c r="Y58" s="7">
        <v>22707.200000000001</v>
      </c>
    </row>
    <row r="59" spans="1:25" ht="24.75" x14ac:dyDescent="0.25">
      <c r="A59" s="5" t="s">
        <v>26</v>
      </c>
      <c r="B59" s="5" t="s">
        <v>34</v>
      </c>
      <c r="C59" s="5" t="s">
        <v>46</v>
      </c>
      <c r="D59" s="5" t="s">
        <v>47</v>
      </c>
      <c r="E59" s="5" t="s">
        <v>37</v>
      </c>
      <c r="F59" s="5" t="s">
        <v>144</v>
      </c>
      <c r="G59" s="5">
        <v>2018</v>
      </c>
      <c r="H59" s="5" t="str">
        <f>CONCATENATE("84240230304")</f>
        <v>84240230304</v>
      </c>
      <c r="I59" s="5" t="s">
        <v>29</v>
      </c>
      <c r="J59" s="5" t="s">
        <v>30</v>
      </c>
      <c r="K59" s="5" t="str">
        <f>CONCATENATE("")</f>
        <v/>
      </c>
      <c r="L59" s="5" t="str">
        <f>CONCATENATE("10 10.1 4a")</f>
        <v>10 10.1 4a</v>
      </c>
      <c r="M59" s="5" t="str">
        <f>CONCATENATE("02254910413")</f>
        <v>02254910413</v>
      </c>
      <c r="N59" s="5" t="s">
        <v>145</v>
      </c>
      <c r="O59" s="5" t="s">
        <v>138</v>
      </c>
      <c r="P59" s="6">
        <v>43839</v>
      </c>
      <c r="Q59" s="5" t="s">
        <v>31</v>
      </c>
      <c r="R59" s="5" t="s">
        <v>32</v>
      </c>
      <c r="S59" s="5" t="s">
        <v>33</v>
      </c>
      <c r="T59" s="5"/>
      <c r="U59" s="5">
        <v>400</v>
      </c>
      <c r="V59" s="5">
        <v>172.48</v>
      </c>
      <c r="W59" s="5">
        <v>159.28</v>
      </c>
      <c r="X59" s="5">
        <v>0</v>
      </c>
      <c r="Y59" s="5">
        <v>68.239999999999995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2020-02-27T15:37:37Z</dcterms:created>
  <dcterms:modified xsi:type="dcterms:W3CDTF">2020-02-27T15:38:57Z</dcterms:modified>
</cp:coreProperties>
</file>